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ГУЛЬЗАТ 2025\сессия 10 созыв\26 cессия\"/>
    </mc:Choice>
  </mc:AlternateContent>
  <xr:revisionPtr revIDLastSave="0" documentId="8_{EBDD6C00-1A49-492D-82E2-7A21EA0886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1 киреше бөлүгү" sheetId="15" r:id="rId1"/>
    <sheet name="Т2 чыгаша бөлүгү бюджет акыркы" sheetId="6" r:id="rId2"/>
    <sheet name="Т2а чыгаша бөлүгү атайын эсеп" sheetId="2" r:id="rId3"/>
    <sheet name="Т3 УГД" sheetId="9" r:id="rId4"/>
    <sheet name="Т4 ЖКХ" sheetId="10" r:id="rId5"/>
    <sheet name="ЖКХ спец" sheetId="14" state="hidden" r:id="rId6"/>
    <sheet name="Тазалык спец" sheetId="11" state="hidden" r:id="rId7"/>
    <sheet name="Т5 Маалымат борбору" sheetId="7" r:id="rId8"/>
    <sheet name="Т6 УМИ спец" sheetId="12" r:id="rId9"/>
  </sheets>
  <definedNames>
    <definedName name="_xlnm.Print_Titles" localSheetId="0">'Т1 киреше бөлүгү'!$9:$11</definedName>
    <definedName name="_xlnm.Print_Titles" localSheetId="1">'Т2 чыгаша бөлүгү бюджет акыркы'!$9:$10</definedName>
    <definedName name="_xlnm.Print_Area" localSheetId="0">'Т1 киреше бөлүгү'!$A$1:$L$77</definedName>
    <definedName name="_xlnm.Print_Area" localSheetId="1">'Т2 чыгаша бөлүгү бюджет акыркы'!$A$1:$H$164</definedName>
    <definedName name="_xlnm.Print_Area" localSheetId="2">'Т2а чыгаша бөлүгү атайын эсеп'!$A$1:$F$22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5" l="1"/>
  <c r="F156" i="6"/>
  <c r="G137" i="6" l="1"/>
  <c r="E58" i="6"/>
  <c r="G155" i="6"/>
  <c r="F155" i="6"/>
  <c r="E155" i="6"/>
  <c r="D155" i="6"/>
  <c r="G153" i="6"/>
  <c r="F153" i="6"/>
  <c r="E153" i="6"/>
  <c r="D153" i="6"/>
  <c r="G151" i="6"/>
  <c r="F151" i="6"/>
  <c r="E151" i="6"/>
  <c r="D151" i="6"/>
  <c r="G149" i="6"/>
  <c r="F149" i="6"/>
  <c r="E149" i="6"/>
  <c r="D149" i="6"/>
  <c r="G146" i="6"/>
  <c r="F146" i="6"/>
  <c r="E146" i="6"/>
  <c r="D146" i="6"/>
  <c r="F137" i="6"/>
  <c r="E137" i="6"/>
  <c r="D137" i="6"/>
  <c r="G125" i="6"/>
  <c r="F125" i="6"/>
  <c r="E125" i="6"/>
  <c r="D125" i="6"/>
  <c r="G122" i="6"/>
  <c r="F122" i="6"/>
  <c r="E122" i="6"/>
  <c r="D122" i="6"/>
  <c r="G120" i="6"/>
  <c r="F120" i="6"/>
  <c r="E120" i="6"/>
  <c r="D120" i="6"/>
  <c r="G111" i="6"/>
  <c r="F111" i="6"/>
  <c r="E111" i="6"/>
  <c r="D111" i="6"/>
  <c r="G104" i="6"/>
  <c r="F104" i="6"/>
  <c r="E104" i="6"/>
  <c r="D104" i="6"/>
  <c r="F102" i="6"/>
  <c r="E102" i="6"/>
  <c r="D102" i="6"/>
  <c r="G101" i="6"/>
  <c r="G102" i="6" s="1"/>
  <c r="G100" i="6"/>
  <c r="F100" i="6"/>
  <c r="E100" i="6"/>
  <c r="D100" i="6"/>
  <c r="G90" i="6"/>
  <c r="F90" i="6"/>
  <c r="E90" i="6"/>
  <c r="D90" i="6"/>
  <c r="G81" i="6"/>
  <c r="E81" i="6"/>
  <c r="F70" i="6"/>
  <c r="F81" i="6" s="1"/>
  <c r="D70" i="6"/>
  <c r="D81" i="6" s="1"/>
  <c r="G69" i="6"/>
  <c r="F69" i="6"/>
  <c r="E69" i="6"/>
  <c r="D69" i="6"/>
  <c r="G62" i="6"/>
  <c r="F62" i="6"/>
  <c r="E62" i="6"/>
  <c r="D62" i="6"/>
  <c r="G60" i="6"/>
  <c r="F60" i="6"/>
  <c r="E60" i="6"/>
  <c r="D60" i="6"/>
  <c r="G58" i="6"/>
  <c r="F47" i="6"/>
  <c r="D47" i="6"/>
  <c r="F46" i="6"/>
  <c r="D46" i="6"/>
  <c r="G45" i="6"/>
  <c r="E44" i="6"/>
  <c r="E45" i="6" s="1"/>
  <c r="F42" i="6"/>
  <c r="F45" i="6" s="1"/>
  <c r="D42" i="6"/>
  <c r="D45" i="6" s="1"/>
  <c r="F41" i="6"/>
  <c r="D41" i="6"/>
  <c r="G39" i="6"/>
  <c r="G41" i="6" s="1"/>
  <c r="E39" i="6"/>
  <c r="E41" i="6" s="1"/>
  <c r="G37" i="6"/>
  <c r="F37" i="6"/>
  <c r="E37" i="6"/>
  <c r="D37" i="6"/>
  <c r="G35" i="6"/>
  <c r="F35" i="6"/>
  <c r="E35" i="6"/>
  <c r="D35" i="6"/>
  <c r="G32" i="6"/>
  <c r="F32" i="6"/>
  <c r="E32" i="6"/>
  <c r="D32" i="6"/>
  <c r="G29" i="6"/>
  <c r="F29" i="6"/>
  <c r="E29" i="6"/>
  <c r="D29" i="6"/>
  <c r="G24" i="6"/>
  <c r="F24" i="6"/>
  <c r="E24" i="6"/>
  <c r="D24" i="6"/>
  <c r="G159" i="6" l="1"/>
  <c r="F58" i="6"/>
  <c r="D58" i="6"/>
  <c r="D159" i="6" s="1"/>
  <c r="E159" i="6"/>
  <c r="E160" i="6" l="1"/>
  <c r="F159" i="6"/>
  <c r="G160" i="6" s="1"/>
  <c r="D10" i="2"/>
  <c r="K64" i="15" l="1"/>
  <c r="K32" i="15"/>
  <c r="L61" i="15"/>
  <c r="L46" i="15"/>
  <c r="L39" i="15"/>
  <c r="L43" i="15"/>
  <c r="L44" i="15"/>
  <c r="L42" i="15" s="1"/>
  <c r="L40" i="15"/>
  <c r="L35" i="15"/>
  <c r="L34" i="15"/>
  <c r="L37" i="15"/>
  <c r="L36" i="15"/>
  <c r="L33" i="15"/>
  <c r="L27" i="15"/>
  <c r="L26" i="15"/>
  <c r="L25" i="15"/>
  <c r="L24" i="15"/>
  <c r="L22" i="15"/>
  <c r="L20" i="15"/>
  <c r="L19" i="15"/>
  <c r="L17" i="15"/>
  <c r="L15" i="15"/>
  <c r="K18" i="15"/>
  <c r="K63" i="15"/>
  <c r="L63" i="15" s="1"/>
  <c r="K60" i="15"/>
  <c r="K66" i="15" s="1"/>
  <c r="K53" i="15"/>
  <c r="L53" i="15" s="1"/>
  <c r="K45" i="15"/>
  <c r="K42" i="15"/>
  <c r="K38" i="15"/>
  <c r="K31" i="15"/>
  <c r="K23" i="15"/>
  <c r="K29" i="15" s="1"/>
  <c r="I66" i="15"/>
  <c r="H66" i="15"/>
  <c r="E66" i="15"/>
  <c r="J64" i="15"/>
  <c r="L64" i="15" s="1"/>
  <c r="F64" i="15"/>
  <c r="J63" i="15"/>
  <c r="F63" i="15"/>
  <c r="G61" i="15"/>
  <c r="J60" i="15"/>
  <c r="G60" i="15"/>
  <c r="F60" i="15"/>
  <c r="I57" i="15"/>
  <c r="H57" i="15"/>
  <c r="J53" i="15"/>
  <c r="J45" i="15"/>
  <c r="G45" i="15"/>
  <c r="F45" i="15"/>
  <c r="G44" i="15"/>
  <c r="F44" i="15"/>
  <c r="G43" i="15"/>
  <c r="F43" i="15"/>
  <c r="J42" i="15"/>
  <c r="G40" i="15"/>
  <c r="G38" i="15" s="1"/>
  <c r="F40" i="15"/>
  <c r="F38" i="15" s="1"/>
  <c r="L38" i="15"/>
  <c r="J38" i="15"/>
  <c r="G37" i="15"/>
  <c r="F37" i="15"/>
  <c r="G35" i="15"/>
  <c r="F35" i="15"/>
  <c r="E35" i="15"/>
  <c r="G34" i="15"/>
  <c r="F34" i="15"/>
  <c r="E34" i="15"/>
  <c r="G33" i="15"/>
  <c r="F33" i="15"/>
  <c r="E33" i="15"/>
  <c r="J32" i="15"/>
  <c r="J31" i="15" s="1"/>
  <c r="G32" i="15"/>
  <c r="G31" i="15" s="1"/>
  <c r="F32" i="15"/>
  <c r="E32" i="15"/>
  <c r="I29" i="15"/>
  <c r="J23" i="15"/>
  <c r="J29" i="15" s="1"/>
  <c r="H23" i="15"/>
  <c r="G23" i="15"/>
  <c r="F23" i="15"/>
  <c r="F22" i="15"/>
  <c r="F29" i="15" s="1"/>
  <c r="E22" i="15"/>
  <c r="E29" i="15" s="1"/>
  <c r="H19" i="15"/>
  <c r="G19" i="15"/>
  <c r="F19" i="15"/>
  <c r="J18" i="15"/>
  <c r="H18" i="15"/>
  <c r="G18" i="15"/>
  <c r="E17" i="15"/>
  <c r="J12" i="15"/>
  <c r="I12" i="15"/>
  <c r="I18" i="15" s="1"/>
  <c r="F12" i="15"/>
  <c r="F18" i="15" s="1"/>
  <c r="E12" i="15"/>
  <c r="K57" i="15" l="1"/>
  <c r="F66" i="15"/>
  <c r="J57" i="15"/>
  <c r="L45" i="15"/>
  <c r="L23" i="15"/>
  <c r="G42" i="15"/>
  <c r="G57" i="15" s="1"/>
  <c r="G58" i="15" s="1"/>
  <c r="G70" i="15" s="1"/>
  <c r="L12" i="15"/>
  <c r="L18" i="15" s="1"/>
  <c r="E31" i="15"/>
  <c r="E57" i="15" s="1"/>
  <c r="F31" i="15"/>
  <c r="J30" i="15"/>
  <c r="H29" i="15"/>
  <c r="H30" i="15" s="1"/>
  <c r="L32" i="15"/>
  <c r="L31" i="15" s="1"/>
  <c r="L57" i="15" s="1"/>
  <c r="L60" i="15"/>
  <c r="L66" i="15" s="1"/>
  <c r="F42" i="15"/>
  <c r="F57" i="15" s="1"/>
  <c r="F58" i="15" s="1"/>
  <c r="F70" i="15" s="1"/>
  <c r="L29" i="15"/>
  <c r="L30" i="15" s="1"/>
  <c r="K30" i="15"/>
  <c r="K58" i="15" s="1"/>
  <c r="K70" i="15" s="1"/>
  <c r="E18" i="15"/>
  <c r="E30" i="15" s="1"/>
  <c r="G29" i="15"/>
  <c r="G30" i="15" s="1"/>
  <c r="J66" i="15"/>
  <c r="F30" i="15"/>
  <c r="G66" i="15"/>
  <c r="J58" i="15"/>
  <c r="J70" i="15" s="1"/>
  <c r="I30" i="15"/>
  <c r="I58" i="15" s="1"/>
  <c r="I70" i="15" s="1"/>
  <c r="H58" i="15"/>
  <c r="H70" i="15" s="1"/>
  <c r="E58" i="15" l="1"/>
  <c r="E70" i="15" s="1"/>
  <c r="L58" i="15"/>
  <c r="L70" i="15" s="1"/>
  <c r="Y43" i="11"/>
  <c r="Y48" i="11"/>
  <c r="Y47" i="11"/>
  <c r="Y46" i="11"/>
  <c r="Y45" i="11"/>
  <c r="Y44" i="11"/>
  <c r="Y42" i="11"/>
  <c r="Y41" i="11"/>
  <c r="Y40" i="11"/>
  <c r="Y39" i="11"/>
  <c r="Y38" i="11"/>
  <c r="Y36" i="11"/>
  <c r="Y35" i="11"/>
  <c r="Y34" i="11"/>
  <c r="Y33" i="11"/>
  <c r="O50" i="11"/>
  <c r="G50" i="11"/>
  <c r="E50" i="11"/>
  <c r="X49" i="11"/>
  <c r="N49" i="11"/>
  <c r="M49" i="11"/>
  <c r="L49" i="11"/>
  <c r="J49" i="11"/>
  <c r="I49" i="11"/>
  <c r="D49" i="11"/>
  <c r="C49" i="11"/>
  <c r="F48" i="11"/>
  <c r="R48" i="11" s="1"/>
  <c r="P47" i="11"/>
  <c r="F47" i="11"/>
  <c r="S47" i="11" s="1"/>
  <c r="T47" i="11" s="1"/>
  <c r="V47" i="11" s="1"/>
  <c r="P46" i="11"/>
  <c r="F46" i="11"/>
  <c r="S46" i="11" s="1"/>
  <c r="T46" i="11" s="1"/>
  <c r="P45" i="11"/>
  <c r="F45" i="11"/>
  <c r="S45" i="11" s="1"/>
  <c r="T45" i="11" s="1"/>
  <c r="P44" i="11"/>
  <c r="F44" i="11"/>
  <c r="S44" i="11" s="1"/>
  <c r="T44" i="11" s="1"/>
  <c r="U44" i="11" s="1"/>
  <c r="P43" i="11"/>
  <c r="F43" i="11"/>
  <c r="S43" i="11" s="1"/>
  <c r="T43" i="11" s="1"/>
  <c r="R42" i="11"/>
  <c r="P42" i="11"/>
  <c r="F42" i="11"/>
  <c r="P41" i="11"/>
  <c r="F41" i="11"/>
  <c r="P40" i="11"/>
  <c r="F40" i="11"/>
  <c r="F39" i="11"/>
  <c r="H39" i="11" s="1"/>
  <c r="F38" i="11"/>
  <c r="R38" i="11" s="1"/>
  <c r="X37" i="11"/>
  <c r="Q37" i="11"/>
  <c r="Q50" i="11" s="1"/>
  <c r="N37" i="11"/>
  <c r="M37" i="11"/>
  <c r="L37" i="11"/>
  <c r="L50" i="11" s="1"/>
  <c r="K37" i="11"/>
  <c r="J37" i="11"/>
  <c r="I37" i="11"/>
  <c r="D37" i="11"/>
  <c r="C37" i="11"/>
  <c r="C50" i="11" s="1"/>
  <c r="F36" i="11"/>
  <c r="F35" i="11"/>
  <c r="P35" i="11" s="1"/>
  <c r="F34" i="11"/>
  <c r="P34" i="11" s="1"/>
  <c r="F33" i="11"/>
  <c r="O31" i="11"/>
  <c r="G31" i="11"/>
  <c r="E31" i="11"/>
  <c r="E16" i="2"/>
  <c r="D16" i="2"/>
  <c r="E13" i="2"/>
  <c r="D13" i="2"/>
  <c r="V44" i="11" l="1"/>
  <c r="W44" i="11"/>
  <c r="P39" i="11"/>
  <c r="S42" i="11"/>
  <c r="T42" i="11" s="1"/>
  <c r="V42" i="11" s="1"/>
  <c r="I50" i="11"/>
  <c r="R39" i="11"/>
  <c r="M50" i="11"/>
  <c r="F49" i="11"/>
  <c r="W47" i="11"/>
  <c r="U47" i="11"/>
  <c r="J50" i="11"/>
  <c r="N50" i="11"/>
  <c r="D50" i="11"/>
  <c r="Y37" i="11"/>
  <c r="Y50" i="11" s="1"/>
  <c r="E17" i="2"/>
  <c r="D17" i="2"/>
  <c r="Y49" i="11"/>
  <c r="X50" i="11"/>
  <c r="W46" i="11"/>
  <c r="V46" i="11"/>
  <c r="U46" i="11"/>
  <c r="Z46" i="11" s="1"/>
  <c r="W43" i="11"/>
  <c r="V43" i="11"/>
  <c r="U43" i="11"/>
  <c r="F37" i="11"/>
  <c r="V45" i="11"/>
  <c r="U45" i="11"/>
  <c r="H35" i="11"/>
  <c r="W42" i="11"/>
  <c r="W45" i="11"/>
  <c r="R33" i="11"/>
  <c r="R36" i="11"/>
  <c r="K40" i="11"/>
  <c r="K49" i="11" s="1"/>
  <c r="K50" i="11" s="1"/>
  <c r="H33" i="11"/>
  <c r="H36" i="11"/>
  <c r="S36" i="11" s="1"/>
  <c r="T36" i="11" s="1"/>
  <c r="P33" i="11"/>
  <c r="R34" i="11"/>
  <c r="P36" i="11"/>
  <c r="H38" i="11"/>
  <c r="H49" i="11" s="1"/>
  <c r="R40" i="11"/>
  <c r="H34" i="11"/>
  <c r="P38" i="11"/>
  <c r="S39" i="11"/>
  <c r="T39" i="11" s="1"/>
  <c r="R41" i="11"/>
  <c r="S41" i="11" s="1"/>
  <c r="T41" i="11" s="1"/>
  <c r="AA44" i="11"/>
  <c r="Z44" i="11"/>
  <c r="AB44" i="11" s="1"/>
  <c r="AA47" i="11"/>
  <c r="Z47" i="11"/>
  <c r="AB47" i="11" s="1"/>
  <c r="P48" i="11"/>
  <c r="S48" i="11" s="1"/>
  <c r="T48" i="11" s="1"/>
  <c r="R35" i="11"/>
  <c r="U42" i="11" l="1"/>
  <c r="R49" i="11"/>
  <c r="S35" i="11"/>
  <c r="T35" i="11" s="1"/>
  <c r="Z45" i="11"/>
  <c r="F50" i="11"/>
  <c r="P37" i="11"/>
  <c r="AA45" i="11"/>
  <c r="AB45" i="11" s="1"/>
  <c r="Z43" i="11"/>
  <c r="AB43" i="11" s="1"/>
  <c r="S34" i="11"/>
  <c r="T34" i="11" s="1"/>
  <c r="W34" i="11"/>
  <c r="V34" i="11"/>
  <c r="U34" i="11"/>
  <c r="AA34" i="11" s="1"/>
  <c r="V35" i="11"/>
  <c r="U35" i="11"/>
  <c r="W35" i="11"/>
  <c r="U41" i="11"/>
  <c r="V41" i="11"/>
  <c r="W41" i="11"/>
  <c r="U36" i="11"/>
  <c r="AA36" i="11" s="1"/>
  <c r="W36" i="11"/>
  <c r="V36" i="11"/>
  <c r="U48" i="11"/>
  <c r="W48" i="11"/>
  <c r="V48" i="11"/>
  <c r="H37" i="11"/>
  <c r="H50" i="11" s="1"/>
  <c r="R37" i="11"/>
  <c r="R50" i="11" s="1"/>
  <c r="AA46" i="11"/>
  <c r="AB46" i="11" s="1"/>
  <c r="S33" i="11"/>
  <c r="AA43" i="11"/>
  <c r="W39" i="11"/>
  <c r="V39" i="11"/>
  <c r="U39" i="11"/>
  <c r="P49" i="11"/>
  <c r="S38" i="11"/>
  <c r="S40" i="11"/>
  <c r="T40" i="11" s="1"/>
  <c r="Z41" i="11" l="1"/>
  <c r="P50" i="11"/>
  <c r="AA42" i="11"/>
  <c r="Z42" i="11"/>
  <c r="AB42" i="11" s="1"/>
  <c r="AA48" i="11"/>
  <c r="AA35" i="11"/>
  <c r="AA39" i="11"/>
  <c r="S49" i="11"/>
  <c r="T38" i="11"/>
  <c r="Z39" i="11"/>
  <c r="T33" i="11"/>
  <c r="S37" i="11"/>
  <c r="AA41" i="11"/>
  <c r="AB41" i="11" s="1"/>
  <c r="Z34" i="11"/>
  <c r="AB34" i="11" s="1"/>
  <c r="Z48" i="11"/>
  <c r="AB48" i="11" s="1"/>
  <c r="Z36" i="11"/>
  <c r="AB36" i="11" s="1"/>
  <c r="Z35" i="11"/>
  <c r="U40" i="11"/>
  <c r="W40" i="11"/>
  <c r="V40" i="11"/>
  <c r="Z40" i="11" s="1"/>
  <c r="Q22" i="9"/>
  <c r="P22" i="9"/>
  <c r="M22" i="9"/>
  <c r="L22" i="9"/>
  <c r="K22" i="9"/>
  <c r="J22" i="9"/>
  <c r="I22" i="9"/>
  <c r="D22" i="9"/>
  <c r="C22" i="9"/>
  <c r="F21" i="9"/>
  <c r="F20" i="9"/>
  <c r="F19" i="9"/>
  <c r="F18" i="9"/>
  <c r="O18" i="9" s="1"/>
  <c r="N17" i="9"/>
  <c r="F17" i="9"/>
  <c r="H17" i="9" s="1"/>
  <c r="F16" i="9"/>
  <c r="O16" i="9" s="1"/>
  <c r="F15" i="9"/>
  <c r="H15" i="9" s="1"/>
  <c r="F14" i="9"/>
  <c r="X36" i="7"/>
  <c r="P24" i="10"/>
  <c r="M24" i="10"/>
  <c r="L24" i="10"/>
  <c r="K24" i="10"/>
  <c r="J24" i="10"/>
  <c r="I24" i="10"/>
  <c r="D24" i="10"/>
  <c r="C24" i="10"/>
  <c r="F23" i="10"/>
  <c r="O23" i="10" s="1"/>
  <c r="F22" i="10"/>
  <c r="O22" i="10" s="1"/>
  <c r="F21" i="10"/>
  <c r="H21" i="10" s="1"/>
  <c r="N20" i="10"/>
  <c r="F20" i="10"/>
  <c r="Q20" i="10" s="1"/>
  <c r="AA40" i="11" l="1"/>
  <c r="AB39" i="11"/>
  <c r="AB35" i="11"/>
  <c r="AB40" i="11"/>
  <c r="T37" i="11"/>
  <c r="W33" i="11"/>
  <c r="W37" i="11" s="1"/>
  <c r="V33" i="11"/>
  <c r="V37" i="11" s="1"/>
  <c r="U33" i="11"/>
  <c r="U37" i="11" s="1"/>
  <c r="W38" i="11"/>
  <c r="W49" i="11" s="1"/>
  <c r="V38" i="11"/>
  <c r="V49" i="11" s="1"/>
  <c r="T49" i="11"/>
  <c r="U38" i="11"/>
  <c r="U49" i="11" s="1"/>
  <c r="S50" i="11"/>
  <c r="F22" i="9"/>
  <c r="O15" i="9"/>
  <c r="R15" i="9" s="1"/>
  <c r="S15" i="9" s="1"/>
  <c r="H14" i="9"/>
  <c r="O14" i="9"/>
  <c r="O17" i="9"/>
  <c r="R17" i="9" s="1"/>
  <c r="S17" i="9" s="1"/>
  <c r="H21" i="9"/>
  <c r="H20" i="9"/>
  <c r="O21" i="9"/>
  <c r="H19" i="9"/>
  <c r="O20" i="9"/>
  <c r="H16" i="9"/>
  <c r="R16" i="9" s="1"/>
  <c r="S16" i="9" s="1"/>
  <c r="H18" i="9"/>
  <c r="R18" i="9" s="1"/>
  <c r="S18" i="9" s="1"/>
  <c r="O19" i="9"/>
  <c r="F24" i="10"/>
  <c r="Q23" i="10"/>
  <c r="Q24" i="10" s="1"/>
  <c r="O21" i="10"/>
  <c r="R21" i="10" s="1"/>
  <c r="S21" i="10" s="1"/>
  <c r="H20" i="10"/>
  <c r="H23" i="10"/>
  <c r="R23" i="10" s="1"/>
  <c r="S23" i="10" s="1"/>
  <c r="H22" i="10"/>
  <c r="R22" i="10" s="1"/>
  <c r="S22" i="10" s="1"/>
  <c r="O20" i="10"/>
  <c r="T50" i="11" l="1"/>
  <c r="W50" i="11"/>
  <c r="Z38" i="11"/>
  <c r="Z33" i="11"/>
  <c r="AA38" i="11"/>
  <c r="AA49" i="11" s="1"/>
  <c r="AA33" i="11"/>
  <c r="AA37" i="11" s="1"/>
  <c r="U50" i="11"/>
  <c r="V50" i="11"/>
  <c r="V15" i="9"/>
  <c r="U15" i="9"/>
  <c r="T15" i="9"/>
  <c r="Z15" i="9" s="1"/>
  <c r="R20" i="9"/>
  <c r="S20" i="9" s="1"/>
  <c r="V20" i="9" s="1"/>
  <c r="T17" i="9"/>
  <c r="V17" i="9"/>
  <c r="U17" i="9"/>
  <c r="O22" i="9"/>
  <c r="R14" i="9"/>
  <c r="H22" i="9"/>
  <c r="R21" i="9"/>
  <c r="S21" i="9" s="1"/>
  <c r="V21" i="9" s="1"/>
  <c r="R19" i="9"/>
  <c r="S19" i="9" s="1"/>
  <c r="V18" i="9"/>
  <c r="U18" i="9"/>
  <c r="T18" i="9"/>
  <c r="V16" i="9"/>
  <c r="U16" i="9"/>
  <c r="T16" i="9"/>
  <c r="Z16" i="9" s="1"/>
  <c r="O24" i="10"/>
  <c r="V21" i="10"/>
  <c r="U21" i="10"/>
  <c r="T21" i="10"/>
  <c r="V22" i="10"/>
  <c r="U22" i="10"/>
  <c r="T22" i="10"/>
  <c r="V23" i="10"/>
  <c r="U23" i="10"/>
  <c r="T23" i="10"/>
  <c r="R20" i="10"/>
  <c r="H24" i="10"/>
  <c r="W21" i="10" l="1"/>
  <c r="Y18" i="9"/>
  <c r="Y17" i="9"/>
  <c r="X23" i="10"/>
  <c r="X22" i="10"/>
  <c r="X21" i="10"/>
  <c r="Y21" i="10" s="1"/>
  <c r="Y16" i="9"/>
  <c r="W22" i="10"/>
  <c r="Y22" i="10" s="1"/>
  <c r="Z18" i="9"/>
  <c r="Z17" i="9"/>
  <c r="U21" i="9"/>
  <c r="Y15" i="9"/>
  <c r="AA15" i="9" s="1"/>
  <c r="W23" i="10"/>
  <c r="AA50" i="11"/>
  <c r="T20" i="9"/>
  <c r="U20" i="9"/>
  <c r="T21" i="9"/>
  <c r="T19" i="9"/>
  <c r="AB38" i="11"/>
  <c r="AB49" i="11" s="1"/>
  <c r="Z49" i="11"/>
  <c r="AB33" i="11"/>
  <c r="AB37" i="11" s="1"/>
  <c r="Z37" i="11"/>
  <c r="AA16" i="9"/>
  <c r="U19" i="9"/>
  <c r="S14" i="9"/>
  <c r="R22" i="9"/>
  <c r="V19" i="9"/>
  <c r="R24" i="10"/>
  <c r="S20" i="10"/>
  <c r="AA17" i="9" l="1"/>
  <c r="Y21" i="9"/>
  <c r="Y20" i="9"/>
  <c r="Z21" i="9"/>
  <c r="AA21" i="9" s="1"/>
  <c r="Z20" i="9"/>
  <c r="Z19" i="9"/>
  <c r="Y19" i="9"/>
  <c r="AB50" i="11"/>
  <c r="Z50" i="11"/>
  <c r="S22" i="9"/>
  <c r="T14" i="9"/>
  <c r="T22" i="9" s="1"/>
  <c r="U14" i="9"/>
  <c r="U22" i="9" s="1"/>
  <c r="V14" i="9"/>
  <c r="V22" i="9" s="1"/>
  <c r="AA20" i="9"/>
  <c r="AA18" i="9"/>
  <c r="Y23" i="10"/>
  <c r="V20" i="10"/>
  <c r="V24" i="10" s="1"/>
  <c r="S24" i="10"/>
  <c r="U20" i="10"/>
  <c r="U24" i="10" s="1"/>
  <c r="T20" i="10"/>
  <c r="T24" i="10" s="1"/>
  <c r="Z14" i="9" l="1"/>
  <c r="Y14" i="9"/>
  <c r="W20" i="10"/>
  <c r="X20" i="10"/>
  <c r="X24" i="10" s="1"/>
  <c r="AA19" i="9"/>
  <c r="Z22" i="9"/>
  <c r="AA14" i="9" l="1"/>
  <c r="AA22" i="9"/>
  <c r="Y22" i="9"/>
  <c r="W24" i="10"/>
  <c r="Y20" i="10"/>
  <c r="Y24" i="10" s="1"/>
  <c r="X20" i="14" l="1"/>
  <c r="X21" i="14"/>
  <c r="X22" i="14"/>
  <c r="X23" i="14"/>
  <c r="W24" i="14" l="1"/>
  <c r="W18" i="14"/>
  <c r="X18" i="14"/>
  <c r="C18" i="14"/>
  <c r="O18" i="14"/>
  <c r="M18" i="14"/>
  <c r="L18" i="14"/>
  <c r="K18" i="14"/>
  <c r="J18" i="14"/>
  <c r="I18" i="14"/>
  <c r="H18" i="14"/>
  <c r="D18" i="14"/>
  <c r="F17" i="14"/>
  <c r="F16" i="14"/>
  <c r="Q15" i="14"/>
  <c r="R14" i="14"/>
  <c r="M24" i="14"/>
  <c r="L24" i="14"/>
  <c r="K24" i="14"/>
  <c r="J24" i="14"/>
  <c r="I24" i="14"/>
  <c r="D24" i="14"/>
  <c r="C24" i="14"/>
  <c r="F23" i="14"/>
  <c r="Q23" i="14" s="1"/>
  <c r="R23" i="14" s="1"/>
  <c r="F22" i="14"/>
  <c r="Q22" i="14" s="1"/>
  <c r="F21" i="14"/>
  <c r="F20" i="14"/>
  <c r="X30" i="11"/>
  <c r="Y30" i="11"/>
  <c r="X18" i="11"/>
  <c r="X31" i="11" s="1"/>
  <c r="Y18" i="11"/>
  <c r="Y31" i="11" s="1"/>
  <c r="N30" i="11"/>
  <c r="M30" i="11"/>
  <c r="L30" i="11"/>
  <c r="J30" i="11"/>
  <c r="I30" i="11"/>
  <c r="D30" i="11"/>
  <c r="C30" i="11"/>
  <c r="Q18" i="11"/>
  <c r="Q31" i="11" s="1"/>
  <c r="N18" i="11"/>
  <c r="N31" i="11" s="1"/>
  <c r="M18" i="11"/>
  <c r="M31" i="11" s="1"/>
  <c r="L18" i="11"/>
  <c r="L31" i="11" s="1"/>
  <c r="K18" i="11"/>
  <c r="J18" i="11"/>
  <c r="I18" i="11"/>
  <c r="I31" i="11" s="1"/>
  <c r="D18" i="11"/>
  <c r="D31" i="11" s="1"/>
  <c r="C18" i="11"/>
  <c r="C31" i="11" s="1"/>
  <c r="F20" i="11"/>
  <c r="R20" i="11" s="1"/>
  <c r="F19" i="11"/>
  <c r="P19" i="11" s="1"/>
  <c r="F29" i="11"/>
  <c r="P28" i="11"/>
  <c r="F28" i="11"/>
  <c r="P27" i="11"/>
  <c r="F27" i="11"/>
  <c r="P26" i="11"/>
  <c r="F26" i="11"/>
  <c r="P25" i="11"/>
  <c r="F25" i="11"/>
  <c r="P24" i="11"/>
  <c r="F24" i="11"/>
  <c r="P23" i="11"/>
  <c r="F23" i="11"/>
  <c r="P22" i="11"/>
  <c r="F22" i="11"/>
  <c r="P21" i="11"/>
  <c r="F21" i="11"/>
  <c r="F17" i="11"/>
  <c r="R17" i="11" s="1"/>
  <c r="F16" i="11"/>
  <c r="R16" i="11" s="1"/>
  <c r="F15" i="11"/>
  <c r="H15" i="11" s="1"/>
  <c r="F14" i="11"/>
  <c r="R14" i="11" s="1"/>
  <c r="AA82" i="12"/>
  <c r="AA81" i="12"/>
  <c r="AA80" i="12"/>
  <c r="AA79" i="12"/>
  <c r="AA78" i="12"/>
  <c r="AA77" i="12"/>
  <c r="AA76" i="12"/>
  <c r="AA73" i="12"/>
  <c r="AA72" i="12"/>
  <c r="AA71" i="12"/>
  <c r="AA70" i="12"/>
  <c r="AA69" i="12"/>
  <c r="AA68" i="12"/>
  <c r="AA67" i="12"/>
  <c r="AA66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Z83" i="12"/>
  <c r="U83" i="12"/>
  <c r="T83" i="12"/>
  <c r="O83" i="12"/>
  <c r="C83" i="12"/>
  <c r="V82" i="12"/>
  <c r="L82" i="12"/>
  <c r="F82" i="12"/>
  <c r="Q82" i="12" s="1"/>
  <c r="R82" i="12" s="1"/>
  <c r="S82" i="12" s="1"/>
  <c r="V81" i="12"/>
  <c r="F81" i="12"/>
  <c r="V80" i="12"/>
  <c r="F80" i="12"/>
  <c r="R80" i="12" s="1"/>
  <c r="S80" i="12" s="1"/>
  <c r="V79" i="12"/>
  <c r="L79" i="12"/>
  <c r="F79" i="12"/>
  <c r="Q79" i="12" s="1"/>
  <c r="R79" i="12" s="1"/>
  <c r="S79" i="12" s="1"/>
  <c r="V78" i="12"/>
  <c r="L78" i="12"/>
  <c r="F78" i="12"/>
  <c r="Q78" i="12" s="1"/>
  <c r="R78" i="12" s="1"/>
  <c r="S78" i="12" s="1"/>
  <c r="V77" i="12"/>
  <c r="L77" i="12"/>
  <c r="F77" i="12"/>
  <c r="Q77" i="12" s="1"/>
  <c r="R77" i="12" s="1"/>
  <c r="S77" i="12" s="1"/>
  <c r="V76" i="12"/>
  <c r="L76" i="12"/>
  <c r="F76" i="12"/>
  <c r="Q76" i="12" s="1"/>
  <c r="Z74" i="12"/>
  <c r="U74" i="12"/>
  <c r="T74" i="12"/>
  <c r="O74" i="12"/>
  <c r="C74" i="12"/>
  <c r="V73" i="12"/>
  <c r="Q73" i="12"/>
  <c r="R73" i="12" s="1"/>
  <c r="S73" i="12" s="1"/>
  <c r="F73" i="12"/>
  <c r="V72" i="12"/>
  <c r="F72" i="12"/>
  <c r="Q72" i="12" s="1"/>
  <c r="R72" i="12" s="1"/>
  <c r="S72" i="12" s="1"/>
  <c r="V71" i="12"/>
  <c r="F71" i="12"/>
  <c r="V70" i="12"/>
  <c r="F70" i="12"/>
  <c r="V69" i="12"/>
  <c r="F69" i="12"/>
  <c r="Q69" i="12" s="1"/>
  <c r="V68" i="12"/>
  <c r="F68" i="12"/>
  <c r="Q68" i="12" s="1"/>
  <c r="R68" i="12" s="1"/>
  <c r="S68" i="12" s="1"/>
  <c r="V67" i="12"/>
  <c r="F67" i="12"/>
  <c r="Q67" i="12" s="1"/>
  <c r="R67" i="12" s="1"/>
  <c r="S67" i="12" s="1"/>
  <c r="V66" i="12"/>
  <c r="F66" i="12"/>
  <c r="Q66" i="12" s="1"/>
  <c r="Z64" i="12"/>
  <c r="Z84" i="12" s="1"/>
  <c r="U64" i="12"/>
  <c r="T64" i="12"/>
  <c r="O64" i="12"/>
  <c r="C64" i="12"/>
  <c r="V63" i="12"/>
  <c r="L63" i="12"/>
  <c r="F63" i="12"/>
  <c r="Q63" i="12" s="1"/>
  <c r="R63" i="12" s="1"/>
  <c r="S63" i="12" s="1"/>
  <c r="X63" i="12" s="1"/>
  <c r="V62" i="12"/>
  <c r="L62" i="12"/>
  <c r="F62" i="12"/>
  <c r="Q62" i="12" s="1"/>
  <c r="R62" i="12" s="1"/>
  <c r="S62" i="12" s="1"/>
  <c r="V61" i="12"/>
  <c r="L61" i="12"/>
  <c r="F61" i="12"/>
  <c r="Q61" i="12" s="1"/>
  <c r="R61" i="12" s="1"/>
  <c r="S61" i="12" s="1"/>
  <c r="X61" i="12" s="1"/>
  <c r="V60" i="12"/>
  <c r="L60" i="12"/>
  <c r="F60" i="12"/>
  <c r="Q60" i="12" s="1"/>
  <c r="R60" i="12" s="1"/>
  <c r="S60" i="12" s="1"/>
  <c r="X60" i="12" s="1"/>
  <c r="V59" i="12"/>
  <c r="L59" i="12"/>
  <c r="F59" i="12"/>
  <c r="R59" i="12" s="1"/>
  <c r="S59" i="12" s="1"/>
  <c r="V58" i="12"/>
  <c r="L58" i="12"/>
  <c r="F58" i="12"/>
  <c r="R58" i="12" s="1"/>
  <c r="S58" i="12" s="1"/>
  <c r="V57" i="12"/>
  <c r="L57" i="12"/>
  <c r="F57" i="12"/>
  <c r="R57" i="12" s="1"/>
  <c r="S57" i="12" s="1"/>
  <c r="V56" i="12"/>
  <c r="R56" i="12"/>
  <c r="S56" i="12" s="1"/>
  <c r="L56" i="12"/>
  <c r="F56" i="12"/>
  <c r="V55" i="12"/>
  <c r="L55" i="12"/>
  <c r="F55" i="12"/>
  <c r="R55" i="12" s="1"/>
  <c r="S55" i="12" s="1"/>
  <c r="V54" i="12"/>
  <c r="L54" i="12"/>
  <c r="F54" i="12"/>
  <c r="R54" i="12" s="1"/>
  <c r="S54" i="12" s="1"/>
  <c r="V53" i="12"/>
  <c r="L53" i="12"/>
  <c r="F53" i="12"/>
  <c r="R53" i="12" s="1"/>
  <c r="S53" i="12" s="1"/>
  <c r="V52" i="12"/>
  <c r="L52" i="12"/>
  <c r="F52" i="12"/>
  <c r="Z29" i="12"/>
  <c r="AA29" i="12"/>
  <c r="Z39" i="12"/>
  <c r="AA39" i="12"/>
  <c r="Z48" i="12"/>
  <c r="AA48" i="12"/>
  <c r="O84" i="12" l="1"/>
  <c r="AA83" i="12"/>
  <c r="C84" i="12"/>
  <c r="T84" i="12"/>
  <c r="AA74" i="12"/>
  <c r="V83" i="12"/>
  <c r="AA49" i="12"/>
  <c r="U84" i="12"/>
  <c r="Q71" i="12"/>
  <c r="R71" i="12" s="1"/>
  <c r="S71" i="12" s="1"/>
  <c r="S24" i="11"/>
  <c r="T24" i="11" s="1"/>
  <c r="U24" i="11" s="1"/>
  <c r="J31" i="11"/>
  <c r="AA64" i="12"/>
  <c r="R69" i="12"/>
  <c r="S69" i="12" s="1"/>
  <c r="W69" i="12" s="1"/>
  <c r="V74" i="12"/>
  <c r="F83" i="12"/>
  <c r="R81" i="12"/>
  <c r="S81" i="12" s="1"/>
  <c r="X81" i="12" s="1"/>
  <c r="S23" i="14"/>
  <c r="U23" i="14" s="1"/>
  <c r="X24" i="14"/>
  <c r="S14" i="14"/>
  <c r="R15" i="14"/>
  <c r="S15" i="14" s="1"/>
  <c r="F18" i="14"/>
  <c r="Q16" i="14"/>
  <c r="Q17" i="14"/>
  <c r="R17" i="14" s="1"/>
  <c r="S17" i="14" s="1"/>
  <c r="F24" i="14"/>
  <c r="R22" i="14"/>
  <c r="Q21" i="14"/>
  <c r="R19" i="11"/>
  <c r="F18" i="11"/>
  <c r="F30" i="11"/>
  <c r="H20" i="11"/>
  <c r="P20" i="11"/>
  <c r="H19" i="11"/>
  <c r="S25" i="11"/>
  <c r="T25" i="11" s="1"/>
  <c r="S28" i="11"/>
  <c r="T28" i="11" s="1"/>
  <c r="S27" i="11"/>
  <c r="T27" i="11" s="1"/>
  <c r="H17" i="11"/>
  <c r="P17" i="11"/>
  <c r="P14" i="11"/>
  <c r="P15" i="11"/>
  <c r="H14" i="11"/>
  <c r="R15" i="11"/>
  <c r="R18" i="11" s="1"/>
  <c r="S26" i="11"/>
  <c r="T26" i="11" s="1"/>
  <c r="H16" i="11"/>
  <c r="P16" i="11"/>
  <c r="K21" i="11"/>
  <c r="R21" i="11"/>
  <c r="S21" i="11" s="1"/>
  <c r="R22" i="11"/>
  <c r="S22" i="11" s="1"/>
  <c r="T22" i="11" s="1"/>
  <c r="R23" i="11"/>
  <c r="S23" i="11" s="1"/>
  <c r="T23" i="11" s="1"/>
  <c r="R29" i="11"/>
  <c r="P29" i="11"/>
  <c r="AA84" i="12"/>
  <c r="X58" i="12"/>
  <c r="Y58" i="12"/>
  <c r="W58" i="12"/>
  <c r="Y67" i="12"/>
  <c r="X67" i="12"/>
  <c r="AC67" i="12" s="1"/>
  <c r="W67" i="12"/>
  <c r="Y55" i="12"/>
  <c r="W55" i="12"/>
  <c r="AB55" i="12" s="1"/>
  <c r="X55" i="12"/>
  <c r="Y54" i="12"/>
  <c r="X54" i="12"/>
  <c r="AC54" i="12" s="1"/>
  <c r="W54" i="12"/>
  <c r="W59" i="12"/>
  <c r="Y59" i="12"/>
  <c r="W62" i="12"/>
  <c r="Y62" i="12"/>
  <c r="Y68" i="12"/>
  <c r="X68" i="12"/>
  <c r="AC68" i="12" s="1"/>
  <c r="W68" i="12"/>
  <c r="Y72" i="12"/>
  <c r="X72" i="12"/>
  <c r="AC72" i="12" s="1"/>
  <c r="W72" i="12"/>
  <c r="W80" i="12"/>
  <c r="Y80" i="12"/>
  <c r="X80" i="12"/>
  <c r="W53" i="12"/>
  <c r="W56" i="12"/>
  <c r="Q52" i="12"/>
  <c r="Q64" i="12" s="1"/>
  <c r="X53" i="12"/>
  <c r="Y56" i="12"/>
  <c r="X57" i="12"/>
  <c r="W61" i="12"/>
  <c r="AC61" i="12" s="1"/>
  <c r="Y61" i="12"/>
  <c r="Y77" i="12"/>
  <c r="X77" i="12"/>
  <c r="W77" i="12"/>
  <c r="Y79" i="12"/>
  <c r="X79" i="12"/>
  <c r="W79" i="12"/>
  <c r="Y82" i="12"/>
  <c r="X82" i="12"/>
  <c r="W82" i="12"/>
  <c r="X59" i="12"/>
  <c r="X62" i="12"/>
  <c r="AC62" i="12" s="1"/>
  <c r="F64" i="12"/>
  <c r="Y69" i="12"/>
  <c r="X69" i="12"/>
  <c r="AB69" i="12" s="1"/>
  <c r="Y73" i="12"/>
  <c r="X73" i="12"/>
  <c r="W73" i="12"/>
  <c r="W81" i="12"/>
  <c r="V64" i="12"/>
  <c r="W60" i="12"/>
  <c r="AC60" i="12"/>
  <c r="Y60" i="12"/>
  <c r="W63" i="12"/>
  <c r="AC63" i="12" s="1"/>
  <c r="Y63" i="12"/>
  <c r="R66" i="12"/>
  <c r="Y57" i="12"/>
  <c r="W57" i="12"/>
  <c r="Y53" i="12"/>
  <c r="X56" i="12"/>
  <c r="R76" i="12"/>
  <c r="Q83" i="12"/>
  <c r="Y78" i="12"/>
  <c r="X78" i="12"/>
  <c r="W78" i="12"/>
  <c r="Q70" i="12"/>
  <c r="R70" i="12" s="1"/>
  <c r="S70" i="12" s="1"/>
  <c r="F74" i="12"/>
  <c r="Z49" i="12"/>
  <c r="AC77" i="12" l="1"/>
  <c r="AB68" i="12"/>
  <c r="AD68" i="12" s="1"/>
  <c r="AC82" i="12"/>
  <c r="F31" i="11"/>
  <c r="AC81" i="12"/>
  <c r="AC73" i="12"/>
  <c r="AC57" i="12"/>
  <c r="AD57" i="12" s="1"/>
  <c r="AC79" i="12"/>
  <c r="AD79" i="12" s="1"/>
  <c r="AB57" i="12"/>
  <c r="AB79" i="12"/>
  <c r="AB59" i="12"/>
  <c r="AB67" i="12"/>
  <c r="W71" i="12"/>
  <c r="X71" i="12"/>
  <c r="AC71" i="12" s="1"/>
  <c r="Y71" i="12"/>
  <c r="AB53" i="12"/>
  <c r="V24" i="11"/>
  <c r="V17" i="14"/>
  <c r="U17" i="14"/>
  <c r="T17" i="14"/>
  <c r="Y17" i="14" s="1"/>
  <c r="W24" i="11"/>
  <c r="AA24" i="11" s="1"/>
  <c r="Y81" i="12"/>
  <c r="AB81" i="12" s="1"/>
  <c r="AD81" i="12" s="1"/>
  <c r="AC56" i="12"/>
  <c r="AB60" i="12"/>
  <c r="AD60" i="12" s="1"/>
  <c r="Q74" i="12"/>
  <c r="AB61" i="12"/>
  <c r="AD61" i="12" s="1"/>
  <c r="AC80" i="12"/>
  <c r="AB54" i="12"/>
  <c r="AD54" i="12" s="1"/>
  <c r="AD67" i="12"/>
  <c r="T15" i="14"/>
  <c r="Z15" i="14" s="1"/>
  <c r="F84" i="12"/>
  <c r="V84" i="12"/>
  <c r="AC59" i="12"/>
  <c r="V14" i="14"/>
  <c r="T14" i="14"/>
  <c r="Z14" i="14" s="1"/>
  <c r="AB78" i="12"/>
  <c r="AB82" i="12"/>
  <c r="AD82" i="12" s="1"/>
  <c r="AB77" i="12"/>
  <c r="AD77" i="12" s="1"/>
  <c r="AC53" i="12"/>
  <c r="AD53" i="12" s="1"/>
  <c r="AB72" i="12"/>
  <c r="AD72" i="12" s="1"/>
  <c r="AB62" i="12"/>
  <c r="AD62" i="12" s="1"/>
  <c r="AC55" i="12"/>
  <c r="AB58" i="12"/>
  <c r="U25" i="11"/>
  <c r="W28" i="11"/>
  <c r="P30" i="11"/>
  <c r="V27" i="11"/>
  <c r="S22" i="14"/>
  <c r="T22" i="14" s="1"/>
  <c r="V23" i="14"/>
  <c r="T23" i="14"/>
  <c r="Q18" i="14"/>
  <c r="U15" i="14"/>
  <c r="U14" i="14"/>
  <c r="R16" i="14"/>
  <c r="S16" i="14" s="1"/>
  <c r="Q24" i="14"/>
  <c r="H24" i="14"/>
  <c r="R21" i="14"/>
  <c r="P18" i="11"/>
  <c r="R30" i="11"/>
  <c r="R31" i="11" s="1"/>
  <c r="S19" i="11"/>
  <c r="H30" i="11"/>
  <c r="U27" i="11"/>
  <c r="H18" i="11"/>
  <c r="K30" i="11"/>
  <c r="K31" i="11" s="1"/>
  <c r="S15" i="11"/>
  <c r="T15" i="11" s="1"/>
  <c r="U28" i="11"/>
  <c r="V25" i="11"/>
  <c r="W25" i="11"/>
  <c r="V28" i="11"/>
  <c r="S20" i="11"/>
  <c r="T20" i="11" s="1"/>
  <c r="W27" i="11"/>
  <c r="S17" i="11"/>
  <c r="T17" i="11" s="1"/>
  <c r="S14" i="11"/>
  <c r="V15" i="11"/>
  <c r="S16" i="11"/>
  <c r="T16" i="11" s="1"/>
  <c r="W26" i="11"/>
  <c r="V26" i="11"/>
  <c r="U26" i="11"/>
  <c r="Z26" i="11" s="1"/>
  <c r="W23" i="11"/>
  <c r="V23" i="11"/>
  <c r="U23" i="11"/>
  <c r="W22" i="11"/>
  <c r="V22" i="11"/>
  <c r="U22" i="11"/>
  <c r="AA22" i="11" s="1"/>
  <c r="T21" i="11"/>
  <c r="S29" i="11"/>
  <c r="T29" i="11" s="1"/>
  <c r="W70" i="12"/>
  <c r="Y70" i="12"/>
  <c r="X70" i="12"/>
  <c r="AD59" i="12"/>
  <c r="AB56" i="12"/>
  <c r="AB80" i="12"/>
  <c r="AD80" i="12" s="1"/>
  <c r="S76" i="12"/>
  <c r="R83" i="12"/>
  <c r="AC69" i="12"/>
  <c r="AD69" i="12" s="1"/>
  <c r="R52" i="12"/>
  <c r="AD55" i="12"/>
  <c r="AC78" i="12"/>
  <c r="AD78" i="12" s="1"/>
  <c r="AB63" i="12"/>
  <c r="AD63" i="12" s="1"/>
  <c r="S66" i="12"/>
  <c r="R74" i="12"/>
  <c r="AB73" i="12"/>
  <c r="AD73" i="12" s="1"/>
  <c r="Q84" i="12"/>
  <c r="AC58" i="12"/>
  <c r="AD58" i="12" s="1"/>
  <c r="AA26" i="11" l="1"/>
  <c r="Z22" i="11"/>
  <c r="Y14" i="14"/>
  <c r="Y15" i="14"/>
  <c r="Z25" i="11"/>
  <c r="AB25" i="11" s="1"/>
  <c r="Z17" i="14"/>
  <c r="U22" i="14"/>
  <c r="AA28" i="11"/>
  <c r="P31" i="11"/>
  <c r="Z24" i="11"/>
  <c r="AC70" i="12"/>
  <c r="Z23" i="11"/>
  <c r="AA25" i="11"/>
  <c r="Z23" i="14"/>
  <c r="AD56" i="12"/>
  <c r="AB70" i="12"/>
  <c r="H31" i="11"/>
  <c r="AA23" i="11"/>
  <c r="Z28" i="11"/>
  <c r="AB28" i="11" s="1"/>
  <c r="AA27" i="11"/>
  <c r="AB27" i="11" s="1"/>
  <c r="S18" i="14"/>
  <c r="U16" i="14"/>
  <c r="T16" i="14"/>
  <c r="T18" i="14" s="1"/>
  <c r="Z16" i="14"/>
  <c r="V16" i="14"/>
  <c r="V18" i="14" s="1"/>
  <c r="Z27" i="11"/>
  <c r="AB71" i="12"/>
  <c r="AD71" i="12" s="1"/>
  <c r="AA21" i="11"/>
  <c r="R18" i="14"/>
  <c r="V17" i="11"/>
  <c r="U15" i="11"/>
  <c r="AA15" i="11" s="1"/>
  <c r="V22" i="14"/>
  <c r="Y23" i="14"/>
  <c r="AA14" i="14"/>
  <c r="AA15" i="14"/>
  <c r="AA17" i="14"/>
  <c r="U18" i="14"/>
  <c r="S21" i="14"/>
  <c r="W15" i="11"/>
  <c r="W17" i="11"/>
  <c r="T19" i="11"/>
  <c r="S30" i="11"/>
  <c r="T14" i="11"/>
  <c r="S18" i="11"/>
  <c r="U17" i="11"/>
  <c r="AA17" i="11" s="1"/>
  <c r="U20" i="11"/>
  <c r="W20" i="11"/>
  <c r="V20" i="11"/>
  <c r="AB23" i="11"/>
  <c r="W16" i="11"/>
  <c r="U16" i="11"/>
  <c r="V16" i="11"/>
  <c r="W21" i="11"/>
  <c r="V21" i="11"/>
  <c r="U21" i="11"/>
  <c r="Z21" i="11" s="1"/>
  <c r="AB24" i="11"/>
  <c r="W29" i="11"/>
  <c r="V29" i="11"/>
  <c r="U29" i="11"/>
  <c r="AD70" i="12"/>
  <c r="Y66" i="12"/>
  <c r="Y74" i="12" s="1"/>
  <c r="X66" i="12"/>
  <c r="X74" i="12" s="1"/>
  <c r="W66" i="12"/>
  <c r="W74" i="12" s="1"/>
  <c r="S74" i="12"/>
  <c r="R64" i="12"/>
  <c r="R84" i="12" s="1"/>
  <c r="S52" i="12"/>
  <c r="Y76" i="12"/>
  <c r="Y83" i="12" s="1"/>
  <c r="S83" i="12"/>
  <c r="X76" i="12"/>
  <c r="X83" i="12" s="1"/>
  <c r="W76" i="12"/>
  <c r="W83" i="12" s="1"/>
  <c r="Z20" i="11" l="1"/>
  <c r="Y22" i="14"/>
  <c r="AA20" i="11"/>
  <c r="Z29" i="11"/>
  <c r="Z16" i="11"/>
  <c r="Z17" i="11"/>
  <c r="AB17" i="11" s="1"/>
  <c r="Y16" i="14"/>
  <c r="AA16" i="14" s="1"/>
  <c r="AA18" i="14" s="1"/>
  <c r="AA29" i="11"/>
  <c r="AA16" i="11"/>
  <c r="AA23" i="14"/>
  <c r="Z22" i="14"/>
  <c r="AB76" i="12"/>
  <c r="AD76" i="12" s="1"/>
  <c r="AD83" i="12" s="1"/>
  <c r="Z15" i="11"/>
  <c r="AB15" i="11" s="1"/>
  <c r="AC76" i="12"/>
  <c r="AC83" i="12" s="1"/>
  <c r="S31" i="11"/>
  <c r="V14" i="11"/>
  <c r="V18" i="11" s="1"/>
  <c r="W14" i="11"/>
  <c r="W18" i="11" s="1"/>
  <c r="AA22" i="14"/>
  <c r="T21" i="14"/>
  <c r="Z21" i="14" s="1"/>
  <c r="U21" i="14"/>
  <c r="Z18" i="14"/>
  <c r="AB20" i="11"/>
  <c r="T30" i="11"/>
  <c r="W19" i="11"/>
  <c r="U19" i="11"/>
  <c r="U30" i="11" s="1"/>
  <c r="V19" i="11"/>
  <c r="U14" i="11"/>
  <c r="U18" i="11" s="1"/>
  <c r="T18" i="11"/>
  <c r="T31" i="11" s="1"/>
  <c r="AB22" i="11"/>
  <c r="AB26" i="11"/>
  <c r="S64" i="12"/>
  <c r="S84" i="12" s="1"/>
  <c r="X52" i="12"/>
  <c r="X64" i="12" s="1"/>
  <c r="X84" i="12" s="1"/>
  <c r="W52" i="12"/>
  <c r="W64" i="12" s="1"/>
  <c r="W84" i="12" s="1"/>
  <c r="Y52" i="12"/>
  <c r="Y64" i="12" s="1"/>
  <c r="Y84" i="12" s="1"/>
  <c r="AC66" i="12"/>
  <c r="AC74" i="12" s="1"/>
  <c r="AB83" i="12"/>
  <c r="AB66" i="12"/>
  <c r="AA14" i="11" l="1"/>
  <c r="Z14" i="11"/>
  <c r="U31" i="11"/>
  <c r="AA19" i="11"/>
  <c r="AA30" i="11" s="1"/>
  <c r="Z19" i="11"/>
  <c r="Y21" i="14"/>
  <c r="AA21" i="14" s="1"/>
  <c r="Y18" i="14"/>
  <c r="Z18" i="11"/>
  <c r="AA18" i="11"/>
  <c r="W30" i="11"/>
  <c r="W31" i="11" s="1"/>
  <c r="V30" i="11"/>
  <c r="V31" i="11" s="1"/>
  <c r="AB29" i="11"/>
  <c r="AB16" i="11"/>
  <c r="AB21" i="11"/>
  <c r="AB74" i="12"/>
  <c r="AD66" i="12"/>
  <c r="AD74" i="12" s="1"/>
  <c r="AC52" i="12"/>
  <c r="AC64" i="12" s="1"/>
  <c r="AC84" i="12" s="1"/>
  <c r="AB52" i="12"/>
  <c r="AA31" i="11" l="1"/>
  <c r="AA51" i="11" s="1"/>
  <c r="AB14" i="11"/>
  <c r="AB18" i="11" s="1"/>
  <c r="Z30" i="11"/>
  <c r="Z31" i="11" s="1"/>
  <c r="Z51" i="11" s="1"/>
  <c r="AB19" i="11"/>
  <c r="AB30" i="11" s="1"/>
  <c r="AB64" i="12"/>
  <c r="AB84" i="12" s="1"/>
  <c r="AD52" i="12"/>
  <c r="AD64" i="12" s="1"/>
  <c r="AD84" i="12" s="1"/>
  <c r="AB31" i="11" l="1"/>
  <c r="AB51" i="11" s="1"/>
  <c r="U48" i="12"/>
  <c r="T48" i="12"/>
  <c r="O48" i="12"/>
  <c r="C48" i="12"/>
  <c r="V47" i="12"/>
  <c r="L47" i="12"/>
  <c r="F47" i="12"/>
  <c r="Q47" i="12" s="1"/>
  <c r="R47" i="12" s="1"/>
  <c r="S47" i="12" s="1"/>
  <c r="V46" i="12"/>
  <c r="F46" i="12"/>
  <c r="R46" i="12" s="1"/>
  <c r="S46" i="12" s="1"/>
  <c r="V45" i="12"/>
  <c r="F45" i="12"/>
  <c r="R45" i="12" s="1"/>
  <c r="S45" i="12" s="1"/>
  <c r="V44" i="12"/>
  <c r="L44" i="12"/>
  <c r="F44" i="12"/>
  <c r="Q44" i="12" s="1"/>
  <c r="R44" i="12" s="1"/>
  <c r="S44" i="12" s="1"/>
  <c r="V43" i="12"/>
  <c r="L43" i="12"/>
  <c r="F43" i="12"/>
  <c r="Q43" i="12" s="1"/>
  <c r="R43" i="12" s="1"/>
  <c r="S43" i="12" s="1"/>
  <c r="V42" i="12"/>
  <c r="L42" i="12"/>
  <c r="F42" i="12"/>
  <c r="Q42" i="12" s="1"/>
  <c r="R42" i="12" s="1"/>
  <c r="S42" i="12" s="1"/>
  <c r="V41" i="12"/>
  <c r="L41" i="12"/>
  <c r="F41" i="12"/>
  <c r="Q41" i="12" s="1"/>
  <c r="U39" i="12"/>
  <c r="T39" i="12"/>
  <c r="O39" i="12"/>
  <c r="C39" i="12"/>
  <c r="V38" i="12"/>
  <c r="F38" i="12"/>
  <c r="V37" i="12"/>
  <c r="F37" i="12"/>
  <c r="Q37" i="12" s="1"/>
  <c r="R37" i="12" s="1"/>
  <c r="S37" i="12" s="1"/>
  <c r="V36" i="12"/>
  <c r="F36" i="12"/>
  <c r="V35" i="12"/>
  <c r="F35" i="12"/>
  <c r="Q35" i="12" s="1"/>
  <c r="R35" i="12" s="1"/>
  <c r="S35" i="12" s="1"/>
  <c r="V34" i="12"/>
  <c r="F34" i="12"/>
  <c r="Q34" i="12" s="1"/>
  <c r="R34" i="12" s="1"/>
  <c r="S34" i="12" s="1"/>
  <c r="V33" i="12"/>
  <c r="F33" i="12"/>
  <c r="V32" i="12"/>
  <c r="F32" i="12"/>
  <c r="V31" i="12"/>
  <c r="F31" i="12"/>
  <c r="Q31" i="12" s="1"/>
  <c r="U29" i="12"/>
  <c r="U49" i="12" s="1"/>
  <c r="T29" i="12"/>
  <c r="T49" i="12" s="1"/>
  <c r="O29" i="12"/>
  <c r="C29" i="12"/>
  <c r="V28" i="12"/>
  <c r="L28" i="12"/>
  <c r="F28" i="12"/>
  <c r="Q28" i="12" s="1"/>
  <c r="R28" i="12" s="1"/>
  <c r="S28" i="12" s="1"/>
  <c r="V27" i="12"/>
  <c r="L27" i="12"/>
  <c r="F27" i="12"/>
  <c r="Q27" i="12" s="1"/>
  <c r="R27" i="12" s="1"/>
  <c r="S27" i="12" s="1"/>
  <c r="V26" i="12"/>
  <c r="L26" i="12"/>
  <c r="F26" i="12"/>
  <c r="Q26" i="12" s="1"/>
  <c r="R26" i="12" s="1"/>
  <c r="S26" i="12" s="1"/>
  <c r="V25" i="12"/>
  <c r="L25" i="12"/>
  <c r="F25" i="12"/>
  <c r="V24" i="12"/>
  <c r="L24" i="12"/>
  <c r="F24" i="12"/>
  <c r="R24" i="12" s="1"/>
  <c r="S24" i="12" s="1"/>
  <c r="V23" i="12"/>
  <c r="L23" i="12"/>
  <c r="F23" i="12"/>
  <c r="R23" i="12" s="1"/>
  <c r="S23" i="12" s="1"/>
  <c r="V22" i="12"/>
  <c r="L22" i="12"/>
  <c r="F22" i="12"/>
  <c r="R22" i="12" s="1"/>
  <c r="S22" i="12" s="1"/>
  <c r="V21" i="12"/>
  <c r="L21" i="12"/>
  <c r="F21" i="12"/>
  <c r="R21" i="12" s="1"/>
  <c r="S21" i="12" s="1"/>
  <c r="V20" i="12"/>
  <c r="L20" i="12"/>
  <c r="F20" i="12"/>
  <c r="R20" i="12" s="1"/>
  <c r="S20" i="12" s="1"/>
  <c r="V19" i="12"/>
  <c r="L19" i="12"/>
  <c r="F19" i="12"/>
  <c r="R19" i="12" s="1"/>
  <c r="S19" i="12" s="1"/>
  <c r="V18" i="12"/>
  <c r="L18" i="12"/>
  <c r="F18" i="12"/>
  <c r="R18" i="12" s="1"/>
  <c r="S18" i="12" s="1"/>
  <c r="V17" i="12"/>
  <c r="L17" i="12"/>
  <c r="F17" i="12"/>
  <c r="Q17" i="12" s="1"/>
  <c r="AC44" i="12" l="1"/>
  <c r="O49" i="12"/>
  <c r="C49" i="12"/>
  <c r="F48" i="12"/>
  <c r="V29" i="12"/>
  <c r="Q25" i="12"/>
  <c r="Q29" i="12" s="1"/>
  <c r="Q36" i="12"/>
  <c r="R36" i="12" s="1"/>
  <c r="S36" i="12" s="1"/>
  <c r="V48" i="12"/>
  <c r="V39" i="12"/>
  <c r="F29" i="12"/>
  <c r="X26" i="12"/>
  <c r="AC26" i="12" s="1"/>
  <c r="W26" i="12"/>
  <c r="Y26" i="12"/>
  <c r="Y37" i="12"/>
  <c r="X37" i="12"/>
  <c r="AC37" i="12" s="1"/>
  <c r="W37" i="12"/>
  <c r="AB37" i="12" s="1"/>
  <c r="X35" i="12"/>
  <c r="W35" i="12"/>
  <c r="AC35" i="12" s="1"/>
  <c r="Y35" i="12"/>
  <c r="AB35" i="12" s="1"/>
  <c r="Y19" i="12"/>
  <c r="X19" i="12"/>
  <c r="W19" i="12"/>
  <c r="AB19" i="12" s="1"/>
  <c r="Y23" i="12"/>
  <c r="X23" i="12"/>
  <c r="W23" i="12"/>
  <c r="AB23" i="12" s="1"/>
  <c r="X43" i="12"/>
  <c r="W43" i="12"/>
  <c r="AB43" i="12" s="1"/>
  <c r="Y43" i="12"/>
  <c r="W27" i="12"/>
  <c r="X27" i="12"/>
  <c r="AC27" i="12" s="1"/>
  <c r="Y27" i="12"/>
  <c r="AB27" i="12" s="1"/>
  <c r="W34" i="12"/>
  <c r="X34" i="12"/>
  <c r="AC34" i="12" s="1"/>
  <c r="Y34" i="12"/>
  <c r="X42" i="12"/>
  <c r="AC42" i="12" s="1"/>
  <c r="W42" i="12"/>
  <c r="Y42" i="12"/>
  <c r="X44" i="12"/>
  <c r="W44" i="12"/>
  <c r="AB44" i="12" s="1"/>
  <c r="Y44" i="12"/>
  <c r="X46" i="12"/>
  <c r="Y46" i="12"/>
  <c r="W46" i="12"/>
  <c r="AB46" i="12" s="1"/>
  <c r="R17" i="12"/>
  <c r="Y21" i="12"/>
  <c r="X21" i="12"/>
  <c r="W21" i="12"/>
  <c r="AB21" i="12" s="1"/>
  <c r="Y24" i="12"/>
  <c r="X24" i="12"/>
  <c r="W24" i="12"/>
  <c r="AB24" i="12" s="1"/>
  <c r="Y20" i="12"/>
  <c r="X20" i="12"/>
  <c r="AC20" i="12" s="1"/>
  <c r="W20" i="12"/>
  <c r="Q48" i="12"/>
  <c r="R41" i="12"/>
  <c r="X18" i="12"/>
  <c r="W18" i="12"/>
  <c r="Y18" i="12"/>
  <c r="Y28" i="12"/>
  <c r="X28" i="12"/>
  <c r="AC28" i="12" s="1"/>
  <c r="W28" i="12"/>
  <c r="Y45" i="12"/>
  <c r="X45" i="12"/>
  <c r="AC45" i="12" s="1"/>
  <c r="W45" i="12"/>
  <c r="X47" i="12"/>
  <c r="Y47" i="12"/>
  <c r="W47" i="12"/>
  <c r="AB47" i="12" s="1"/>
  <c r="Y22" i="12"/>
  <c r="X22" i="12"/>
  <c r="W22" i="12"/>
  <c r="AB22" i="12" s="1"/>
  <c r="R31" i="12"/>
  <c r="Q33" i="12"/>
  <c r="R33" i="12" s="1"/>
  <c r="S33" i="12" s="1"/>
  <c r="F39" i="12"/>
  <c r="Q32" i="12"/>
  <c r="R32" i="12" s="1"/>
  <c r="S32" i="12" s="1"/>
  <c r="Q38" i="12"/>
  <c r="R38" i="12" s="1"/>
  <c r="S38" i="12" s="1"/>
  <c r="AB18" i="12" l="1"/>
  <c r="AB45" i="12"/>
  <c r="AC18" i="12"/>
  <c r="AB34" i="12"/>
  <c r="AC23" i="12"/>
  <c r="AD23" i="12" s="1"/>
  <c r="AC43" i="12"/>
  <c r="AC47" i="12"/>
  <c r="AD47" i="12" s="1"/>
  <c r="AC21" i="12"/>
  <c r="AC24" i="12"/>
  <c r="AC22" i="12"/>
  <c r="AB28" i="12"/>
  <c r="AB20" i="12"/>
  <c r="AC19" i="12"/>
  <c r="AB26" i="12"/>
  <c r="AB42" i="12"/>
  <c r="AD42" i="12" s="1"/>
  <c r="AC46" i="12"/>
  <c r="V49" i="12"/>
  <c r="R25" i="12"/>
  <c r="S25" i="12" s="1"/>
  <c r="F49" i="12"/>
  <c r="W36" i="12"/>
  <c r="Y36" i="12"/>
  <c r="X36" i="12"/>
  <c r="AD37" i="12"/>
  <c r="AD19" i="12"/>
  <c r="Q39" i="12"/>
  <c r="Q49" i="12" s="1"/>
  <c r="AD28" i="12"/>
  <c r="AD44" i="12"/>
  <c r="AD34" i="12"/>
  <c r="X33" i="12"/>
  <c r="AC33" i="12" s="1"/>
  <c r="Y33" i="12"/>
  <c r="W33" i="12"/>
  <c r="W38" i="12"/>
  <c r="Y38" i="12"/>
  <c r="X38" i="12"/>
  <c r="AC38" i="12" s="1"/>
  <c r="Y32" i="12"/>
  <c r="W32" i="12"/>
  <c r="X32" i="12"/>
  <c r="AC32" i="12" s="1"/>
  <c r="S17" i="12"/>
  <c r="AD27" i="12"/>
  <c r="R48" i="12"/>
  <c r="S41" i="12"/>
  <c r="R39" i="12"/>
  <c r="S31" i="12"/>
  <c r="AB36" i="12" l="1"/>
  <c r="AB33" i="12"/>
  <c r="AC36" i="12"/>
  <c r="AD36" i="12" s="1"/>
  <c r="W25" i="12"/>
  <c r="AC17" i="12"/>
  <c r="AB32" i="12"/>
  <c r="AB38" i="12"/>
  <c r="AD38" i="12" s="1"/>
  <c r="AD20" i="12"/>
  <c r="AD22" i="12"/>
  <c r="Y25" i="12"/>
  <c r="AD26" i="12"/>
  <c r="AD45" i="12"/>
  <c r="AD43" i="12"/>
  <c r="R29" i="12"/>
  <c r="R49" i="12" s="1"/>
  <c r="AD24" i="12"/>
  <c r="AD21" i="12"/>
  <c r="X25" i="12"/>
  <c r="AD35" i="12"/>
  <c r="AD46" i="12"/>
  <c r="AD18" i="12"/>
  <c r="Y31" i="12"/>
  <c r="Y39" i="12" s="1"/>
  <c r="X31" i="12"/>
  <c r="X39" i="12" s="1"/>
  <c r="W31" i="12"/>
  <c r="W39" i="12" s="1"/>
  <c r="S39" i="12"/>
  <c r="S29" i="12"/>
  <c r="X17" i="12"/>
  <c r="W17" i="12"/>
  <c r="AB17" i="12" s="1"/>
  <c r="Y17" i="12"/>
  <c r="S48" i="12"/>
  <c r="X41" i="12"/>
  <c r="X48" i="12" s="1"/>
  <c r="W41" i="12"/>
  <c r="W48" i="12" s="1"/>
  <c r="Y41" i="12"/>
  <c r="Y48" i="12" s="1"/>
  <c r="AC25" i="12" l="1"/>
  <c r="S49" i="12"/>
  <c r="AB25" i="12"/>
  <c r="AC31" i="12"/>
  <c r="AB31" i="12"/>
  <c r="W29" i="12"/>
  <c r="W49" i="12" s="1"/>
  <c r="AC41" i="12"/>
  <c r="Y29" i="12"/>
  <c r="Y49" i="12" s="1"/>
  <c r="X29" i="12"/>
  <c r="X49" i="12" s="1"/>
  <c r="AB41" i="12"/>
  <c r="AB48" i="12" s="1"/>
  <c r="AD33" i="12"/>
  <c r="AD32" i="12"/>
  <c r="AD17" i="12"/>
  <c r="AC39" i="12"/>
  <c r="AC48" i="12"/>
  <c r="AD25" i="12" l="1"/>
  <c r="AD29" i="12"/>
  <c r="AC29" i="12"/>
  <c r="AC49" i="12" s="1"/>
  <c r="AC85" i="12" s="1"/>
  <c r="AD41" i="12"/>
  <c r="AD48" i="12" s="1"/>
  <c r="AB29" i="12"/>
  <c r="AB39" i="12"/>
  <c r="AD31" i="12"/>
  <c r="AD39" i="12" s="1"/>
  <c r="AB49" i="12" l="1"/>
  <c r="AB85" i="12" s="1"/>
  <c r="AD49" i="12"/>
  <c r="AD85" i="12" s="1"/>
  <c r="W35" i="7" l="1"/>
  <c r="X35" i="7"/>
  <c r="X37" i="7"/>
  <c r="W37" i="7"/>
  <c r="W22" i="7"/>
  <c r="X22" i="7"/>
  <c r="X24" i="7"/>
  <c r="W24" i="7"/>
  <c r="W25" i="7" l="1"/>
  <c r="W38" i="7"/>
  <c r="X38" i="7"/>
  <c r="X25" i="7"/>
  <c r="Q37" i="7" l="1"/>
  <c r="P37" i="7"/>
  <c r="M37" i="7"/>
  <c r="L37" i="7"/>
  <c r="K37" i="7"/>
  <c r="J37" i="7"/>
  <c r="I37" i="7"/>
  <c r="D37" i="7"/>
  <c r="C37" i="7"/>
  <c r="F36" i="7"/>
  <c r="O36" i="7" s="1"/>
  <c r="O37" i="7" s="1"/>
  <c r="Q35" i="7"/>
  <c r="P35" i="7"/>
  <c r="M35" i="7"/>
  <c r="L35" i="7"/>
  <c r="K35" i="7"/>
  <c r="J35" i="7"/>
  <c r="I35" i="7"/>
  <c r="D35" i="7"/>
  <c r="C35" i="7"/>
  <c r="F34" i="7"/>
  <c r="F33" i="7"/>
  <c r="O33" i="7" s="1"/>
  <c r="F32" i="7"/>
  <c r="H32" i="7" s="1"/>
  <c r="F31" i="7"/>
  <c r="H31" i="7" s="1"/>
  <c r="F30" i="7"/>
  <c r="O30" i="7" s="1"/>
  <c r="F29" i="7"/>
  <c r="F28" i="7"/>
  <c r="F27" i="7"/>
  <c r="O27" i="7" s="1"/>
  <c r="Q24" i="7"/>
  <c r="P24" i="7"/>
  <c r="M24" i="7"/>
  <c r="L24" i="7"/>
  <c r="K24" i="7"/>
  <c r="J24" i="7"/>
  <c r="I24" i="7"/>
  <c r="D24" i="7"/>
  <c r="C24" i="7"/>
  <c r="F23" i="7"/>
  <c r="F24" i="7" s="1"/>
  <c r="K38" i="7" l="1"/>
  <c r="L38" i="7"/>
  <c r="I38" i="7"/>
  <c r="Q38" i="7"/>
  <c r="P38" i="7"/>
  <c r="J38" i="7"/>
  <c r="C38" i="7"/>
  <c r="M38" i="7"/>
  <c r="D38" i="7"/>
  <c r="H30" i="7"/>
  <c r="R30" i="7" s="1"/>
  <c r="S30" i="7" s="1"/>
  <c r="O31" i="7"/>
  <c r="R31" i="7" s="1"/>
  <c r="S31" i="7" s="1"/>
  <c r="O32" i="7"/>
  <c r="R32" i="7" s="1"/>
  <c r="S32" i="7" s="1"/>
  <c r="H29" i="7"/>
  <c r="H28" i="7"/>
  <c r="R28" i="7" s="1"/>
  <c r="S28" i="7" s="1"/>
  <c r="O29" i="7"/>
  <c r="H34" i="7"/>
  <c r="F35" i="7"/>
  <c r="H27" i="7"/>
  <c r="R27" i="7" s="1"/>
  <c r="S27" i="7" s="1"/>
  <c r="O28" i="7"/>
  <c r="H33" i="7"/>
  <c r="R33" i="7" s="1"/>
  <c r="S33" i="7" s="1"/>
  <c r="O34" i="7"/>
  <c r="H36" i="7"/>
  <c r="H37" i="7" s="1"/>
  <c r="F37" i="7"/>
  <c r="H23" i="7"/>
  <c r="H24" i="7" s="1"/>
  <c r="O23" i="7"/>
  <c r="O24" i="7" s="1"/>
  <c r="U30" i="7" l="1"/>
  <c r="V30" i="7"/>
  <c r="R29" i="7"/>
  <c r="S29" i="7" s="1"/>
  <c r="T30" i="7"/>
  <c r="Y30" i="7" s="1"/>
  <c r="T31" i="7"/>
  <c r="V31" i="7"/>
  <c r="U31" i="7"/>
  <c r="H35" i="7"/>
  <c r="H38" i="7" s="1"/>
  <c r="V28" i="7"/>
  <c r="T28" i="7"/>
  <c r="U28" i="7"/>
  <c r="V32" i="7"/>
  <c r="U32" i="7"/>
  <c r="T32" i="7"/>
  <c r="Y32" i="7" s="1"/>
  <c r="F38" i="7"/>
  <c r="U33" i="7"/>
  <c r="T33" i="7"/>
  <c r="V33" i="7"/>
  <c r="O35" i="7"/>
  <c r="O38" i="7" s="1"/>
  <c r="U27" i="7"/>
  <c r="V27" i="7"/>
  <c r="T27" i="7"/>
  <c r="Y27" i="7" s="1"/>
  <c r="R34" i="7"/>
  <c r="R36" i="7"/>
  <c r="R23" i="7"/>
  <c r="Z31" i="7" l="1"/>
  <c r="Y28" i="7"/>
  <c r="Z33" i="7"/>
  <c r="Y33" i="7"/>
  <c r="Z30" i="7"/>
  <c r="Z28" i="7"/>
  <c r="AA28" i="7"/>
  <c r="T29" i="7"/>
  <c r="Y29" i="7" s="1"/>
  <c r="Z32" i="7"/>
  <c r="U29" i="7"/>
  <c r="Y31" i="7"/>
  <c r="AA31" i="7" s="1"/>
  <c r="Z27" i="7"/>
  <c r="AA27" i="7" s="1"/>
  <c r="V29" i="7"/>
  <c r="AA33" i="7"/>
  <c r="AA30" i="7"/>
  <c r="S23" i="7"/>
  <c r="R24" i="7"/>
  <c r="S36" i="7"/>
  <c r="R37" i="7"/>
  <c r="R35" i="7"/>
  <c r="R38" i="7" s="1"/>
  <c r="S34" i="7"/>
  <c r="U23" i="7" l="1"/>
  <c r="Z29" i="7"/>
  <c r="AA32" i="7"/>
  <c r="AA29" i="7"/>
  <c r="U24" i="7"/>
  <c r="T23" i="7"/>
  <c r="T24" i="7" s="1"/>
  <c r="S24" i="7"/>
  <c r="V23" i="7"/>
  <c r="S37" i="7"/>
  <c r="V36" i="7"/>
  <c r="V37" i="7" s="1"/>
  <c r="U36" i="7"/>
  <c r="U37" i="7" s="1"/>
  <c r="T36" i="7"/>
  <c r="T37" i="7" s="1"/>
  <c r="U34" i="7"/>
  <c r="U35" i="7" s="1"/>
  <c r="V34" i="7"/>
  <c r="V35" i="7" s="1"/>
  <c r="S35" i="7"/>
  <c r="T34" i="7"/>
  <c r="T35" i="7" s="1"/>
  <c r="P18" i="10"/>
  <c r="M18" i="10"/>
  <c r="L18" i="10"/>
  <c r="K18" i="10"/>
  <c r="J18" i="10"/>
  <c r="I18" i="10"/>
  <c r="D18" i="10"/>
  <c r="C18" i="10"/>
  <c r="N17" i="10"/>
  <c r="F17" i="10"/>
  <c r="F16" i="10"/>
  <c r="N15" i="10"/>
  <c r="F15" i="10"/>
  <c r="N14" i="10"/>
  <c r="F14" i="10"/>
  <c r="Q32" i="9"/>
  <c r="P32" i="9"/>
  <c r="M32" i="9"/>
  <c r="L32" i="9"/>
  <c r="K32" i="9"/>
  <c r="J32" i="9"/>
  <c r="I32" i="9"/>
  <c r="D32" i="9"/>
  <c r="C32" i="9"/>
  <c r="F31" i="9"/>
  <c r="F30" i="9"/>
  <c r="H30" i="9" s="1"/>
  <c r="F29" i="9"/>
  <c r="F28" i="9"/>
  <c r="O28" i="9" s="1"/>
  <c r="F27" i="9"/>
  <c r="O27" i="9" s="1"/>
  <c r="F26" i="9"/>
  <c r="F25" i="9"/>
  <c r="H25" i="9" s="1"/>
  <c r="F24" i="9"/>
  <c r="O24" i="9" s="1"/>
  <c r="Q22" i="7"/>
  <c r="Q25" i="7" s="1"/>
  <c r="P22" i="7"/>
  <c r="P25" i="7" s="1"/>
  <c r="M22" i="7"/>
  <c r="M25" i="7" s="1"/>
  <c r="L22" i="7"/>
  <c r="L25" i="7" s="1"/>
  <c r="K22" i="7"/>
  <c r="K25" i="7" s="1"/>
  <c r="J22" i="7"/>
  <c r="J25" i="7" s="1"/>
  <c r="I22" i="7"/>
  <c r="I25" i="7" s="1"/>
  <c r="D22" i="7"/>
  <c r="D25" i="7" s="1"/>
  <c r="C22" i="7"/>
  <c r="C25" i="7" s="1"/>
  <c r="F21" i="7"/>
  <c r="F20" i="7"/>
  <c r="F19" i="7"/>
  <c r="H19" i="7" s="1"/>
  <c r="F18" i="7"/>
  <c r="O18" i="7" s="1"/>
  <c r="F17" i="7"/>
  <c r="H17" i="7" s="1"/>
  <c r="F16" i="7"/>
  <c r="O16" i="7" s="1"/>
  <c r="F15" i="7"/>
  <c r="O15" i="7" s="1"/>
  <c r="F14" i="7"/>
  <c r="H14" i="7" s="1"/>
  <c r="Z23" i="7" l="1"/>
  <c r="S38" i="7"/>
  <c r="Y23" i="7"/>
  <c r="H27" i="9"/>
  <c r="H24" i="9"/>
  <c r="O30" i="9"/>
  <c r="R30" i="9" s="1"/>
  <c r="S30" i="9" s="1"/>
  <c r="R27" i="9"/>
  <c r="S27" i="9" s="1"/>
  <c r="Z34" i="7"/>
  <c r="Z35" i="7" s="1"/>
  <c r="Y36" i="7"/>
  <c r="Y34" i="7"/>
  <c r="Z36" i="7"/>
  <c r="Z37" i="7" s="1"/>
  <c r="V38" i="7"/>
  <c r="Z24" i="7"/>
  <c r="V24" i="7"/>
  <c r="T38" i="7"/>
  <c r="U38" i="7"/>
  <c r="H16" i="7"/>
  <c r="R16" i="7" s="1"/>
  <c r="S16" i="7" s="1"/>
  <c r="O17" i="7"/>
  <c r="R17" i="7" s="1"/>
  <c r="S17" i="7" s="1"/>
  <c r="H14" i="10"/>
  <c r="H15" i="10"/>
  <c r="H16" i="10"/>
  <c r="O16" i="10"/>
  <c r="F18" i="10"/>
  <c r="O17" i="10"/>
  <c r="Q14" i="10"/>
  <c r="O15" i="10"/>
  <c r="Q17" i="10"/>
  <c r="H17" i="10"/>
  <c r="O14" i="10"/>
  <c r="O26" i="9"/>
  <c r="H26" i="9"/>
  <c r="O29" i="9"/>
  <c r="H29" i="9"/>
  <c r="F32" i="9"/>
  <c r="H31" i="9"/>
  <c r="O31" i="9"/>
  <c r="R24" i="9"/>
  <c r="O25" i="9"/>
  <c r="R25" i="9" s="1"/>
  <c r="S25" i="9" s="1"/>
  <c r="H28" i="9"/>
  <c r="R28" i="9" s="1"/>
  <c r="S28" i="9" s="1"/>
  <c r="H21" i="7"/>
  <c r="F22" i="7"/>
  <c r="F25" i="7" s="1"/>
  <c r="H15" i="7"/>
  <c r="R15" i="7" s="1"/>
  <c r="S15" i="7" s="1"/>
  <c r="H20" i="7"/>
  <c r="O21" i="7"/>
  <c r="O20" i="7"/>
  <c r="O14" i="7"/>
  <c r="R14" i="7" s="1"/>
  <c r="S14" i="7" s="1"/>
  <c r="H18" i="7"/>
  <c r="R18" i="7" s="1"/>
  <c r="S18" i="7" s="1"/>
  <c r="O19" i="7"/>
  <c r="R19" i="7" s="1"/>
  <c r="S19" i="7" s="1"/>
  <c r="U14" i="7" l="1"/>
  <c r="T14" i="7"/>
  <c r="V16" i="7"/>
  <c r="O18" i="10"/>
  <c r="R17" i="10"/>
  <c r="S17" i="10" s="1"/>
  <c r="U17" i="10" s="1"/>
  <c r="V30" i="9"/>
  <c r="U27" i="9"/>
  <c r="T30" i="9"/>
  <c r="Z30" i="9" s="1"/>
  <c r="T27" i="9"/>
  <c r="V27" i="9"/>
  <c r="R31" i="9"/>
  <c r="S31" i="9" s="1"/>
  <c r="U30" i="9"/>
  <c r="R29" i="9"/>
  <c r="S29" i="9" s="1"/>
  <c r="H32" i="9"/>
  <c r="R26" i="9"/>
  <c r="S26" i="9" s="1"/>
  <c r="R16" i="10"/>
  <c r="S16" i="10" s="1"/>
  <c r="V16" i="10" s="1"/>
  <c r="R15" i="10"/>
  <c r="S15" i="10" s="1"/>
  <c r="V15" i="10" s="1"/>
  <c r="Z38" i="7"/>
  <c r="AA23" i="7"/>
  <c r="AA24" i="7" s="1"/>
  <c r="Y24" i="7"/>
  <c r="Y37" i="7"/>
  <c r="AA36" i="7"/>
  <c r="AA37" i="7" s="1"/>
  <c r="Y35" i="7"/>
  <c r="AA34" i="7"/>
  <c r="AA35" i="7" s="1"/>
  <c r="T16" i="7"/>
  <c r="Y16" i="7" s="1"/>
  <c r="U16" i="7"/>
  <c r="T17" i="7"/>
  <c r="Z17" i="7" s="1"/>
  <c r="U17" i="7"/>
  <c r="V17" i="7"/>
  <c r="H22" i="7"/>
  <c r="H25" i="7" s="1"/>
  <c r="R20" i="7"/>
  <c r="S20" i="7" s="1"/>
  <c r="T16" i="10"/>
  <c r="T15" i="10"/>
  <c r="H18" i="10"/>
  <c r="R14" i="10"/>
  <c r="Q18" i="10"/>
  <c r="S24" i="9"/>
  <c r="V28" i="9"/>
  <c r="U28" i="9"/>
  <c r="T28" i="9"/>
  <c r="O32" i="9"/>
  <c r="V25" i="9"/>
  <c r="U25" i="9"/>
  <c r="T25" i="9"/>
  <c r="T20" i="7"/>
  <c r="U18" i="7"/>
  <c r="V18" i="7"/>
  <c r="T18" i="7"/>
  <c r="R21" i="7"/>
  <c r="O22" i="7"/>
  <c r="O25" i="7" s="1"/>
  <c r="V19" i="7"/>
  <c r="U19" i="7"/>
  <c r="Y19" i="7" s="1"/>
  <c r="T19" i="7"/>
  <c r="T15" i="7"/>
  <c r="U15" i="7"/>
  <c r="V15" i="7"/>
  <c r="V14" i="7"/>
  <c r="V17" i="10" l="1"/>
  <c r="Z16" i="7"/>
  <c r="Y17" i="7"/>
  <c r="Y18" i="7"/>
  <c r="Y15" i="7"/>
  <c r="AA15" i="7" s="1"/>
  <c r="Z19" i="7"/>
  <c r="Y14" i="7"/>
  <c r="Z25" i="9"/>
  <c r="U16" i="10"/>
  <c r="Z14" i="7"/>
  <c r="Z15" i="7"/>
  <c r="Z18" i="7"/>
  <c r="U20" i="7"/>
  <c r="Z20" i="7"/>
  <c r="Y20" i="7"/>
  <c r="U15" i="10"/>
  <c r="W15" i="10" s="1"/>
  <c r="Y15" i="10" s="1"/>
  <c r="X15" i="10"/>
  <c r="T17" i="10"/>
  <c r="X17" i="10" s="1"/>
  <c r="X16" i="10"/>
  <c r="W16" i="10"/>
  <c r="T31" i="9"/>
  <c r="U31" i="9"/>
  <c r="V31" i="9"/>
  <c r="Y30" i="9"/>
  <c r="AA30" i="9" s="1"/>
  <c r="T29" i="9"/>
  <c r="Z28" i="9"/>
  <c r="Y28" i="9"/>
  <c r="Y27" i="9"/>
  <c r="Z27" i="9"/>
  <c r="T26" i="9"/>
  <c r="Z26" i="9" s="1"/>
  <c r="Y25" i="9"/>
  <c r="R32" i="9"/>
  <c r="U29" i="9"/>
  <c r="V29" i="9"/>
  <c r="U26" i="9"/>
  <c r="V26" i="9"/>
  <c r="Y38" i="7"/>
  <c r="AA38" i="7"/>
  <c r="AA16" i="7"/>
  <c r="V20" i="7"/>
  <c r="R18" i="10"/>
  <c r="S14" i="10"/>
  <c r="Y16" i="10"/>
  <c r="U24" i="9"/>
  <c r="S32" i="9"/>
  <c r="T24" i="9"/>
  <c r="Z24" i="9" s="1"/>
  <c r="V24" i="9"/>
  <c r="R22" i="7"/>
  <c r="R25" i="7" s="1"/>
  <c r="S21" i="7"/>
  <c r="AA25" i="9" l="1"/>
  <c r="Y31" i="9"/>
  <c r="Y24" i="9"/>
  <c r="W17" i="10"/>
  <c r="Y17" i="10" s="1"/>
  <c r="Z31" i="9"/>
  <c r="AA31" i="9" s="1"/>
  <c r="Z29" i="9"/>
  <c r="Y29" i="9"/>
  <c r="AA27" i="9"/>
  <c r="T32" i="9"/>
  <c r="Y26" i="9"/>
  <c r="AA26" i="9" s="1"/>
  <c r="AA28" i="9"/>
  <c r="U32" i="9"/>
  <c r="V32" i="9"/>
  <c r="AA20" i="7"/>
  <c r="AA18" i="7"/>
  <c r="AA19" i="7"/>
  <c r="AA17" i="7"/>
  <c r="AA14" i="7"/>
  <c r="V14" i="10"/>
  <c r="V18" i="10" s="1"/>
  <c r="T14" i="10"/>
  <c r="T18" i="10" s="1"/>
  <c r="S18" i="10"/>
  <c r="U14" i="10"/>
  <c r="U18" i="10" s="1"/>
  <c r="T21" i="7"/>
  <c r="T22" i="7" s="1"/>
  <c r="T25" i="7" s="1"/>
  <c r="S22" i="7"/>
  <c r="S25" i="7" s="1"/>
  <c r="U21" i="7"/>
  <c r="U22" i="7" s="1"/>
  <c r="U25" i="7" s="1"/>
  <c r="V21" i="7"/>
  <c r="V22" i="7" s="1"/>
  <c r="V25" i="7" s="1"/>
  <c r="Y21" i="7" l="1"/>
  <c r="Z21" i="7"/>
  <c r="X14" i="10"/>
  <c r="X18" i="10" s="1"/>
  <c r="W14" i="10"/>
  <c r="W18" i="10" s="1"/>
  <c r="Z32" i="9"/>
  <c r="AA29" i="9"/>
  <c r="Z22" i="7"/>
  <c r="Z25" i="7" s="1"/>
  <c r="Z39" i="7" s="1"/>
  <c r="Y32" i="9"/>
  <c r="AA24" i="9"/>
  <c r="AA32" i="9" l="1"/>
  <c r="Y14" i="10"/>
  <c r="Y18" i="10" s="1"/>
  <c r="Y22" i="7"/>
  <c r="Y25" i="7" s="1"/>
  <c r="Y39" i="7" s="1"/>
  <c r="AA21" i="7"/>
  <c r="AA22" i="7" s="1"/>
  <c r="AA25" i="7" s="1"/>
  <c r="AA39" i="7" s="1"/>
  <c r="E18" i="2" l="1"/>
  <c r="O24" i="14" l="1"/>
  <c r="R20" i="14"/>
  <c r="S20" i="14" l="1"/>
  <c r="S24" i="14" s="1"/>
  <c r="U20" i="14"/>
  <c r="U24" i="14" s="1"/>
  <c r="R24" i="14"/>
  <c r="T20" i="14" l="1"/>
  <c r="T24" i="14" s="1"/>
  <c r="V20" i="14"/>
  <c r="V24" i="14" s="1"/>
  <c r="Z20" i="14" l="1"/>
  <c r="Z24" i="14" s="1"/>
  <c r="Z25" i="14" s="1"/>
  <c r="Y20" i="14"/>
  <c r="AA20" i="14" s="1"/>
  <c r="AA24" i="14" s="1"/>
  <c r="AA25" i="14" s="1"/>
  <c r="Y24" i="14" l="1"/>
  <c r="Y25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F27" authorId="0" shapeId="0" xr:uid="{6462720C-2216-40F4-B9C6-D241D94E7F4F}">
      <text>
        <r>
          <rPr>
            <b/>
            <sz val="9"/>
            <color indexed="81"/>
            <rFont val="Tahoma"/>
            <family val="2"/>
            <charset val="204"/>
          </rPr>
          <t>УГНС</t>
        </r>
      </text>
    </comment>
    <comment ref="G27" authorId="0" shapeId="0" xr:uid="{FF4247FC-484A-41FB-821C-798ACEA3F58B}">
      <text>
        <r>
          <rPr>
            <b/>
            <sz val="9"/>
            <color indexed="81"/>
            <rFont val="Tahoma"/>
            <family val="2"/>
            <charset val="204"/>
          </rPr>
          <t>УГНС</t>
        </r>
      </text>
    </comment>
    <comment ref="J27" authorId="0" shapeId="0" xr:uid="{A91AEABD-3878-4683-9634-0B794750AEFC}">
      <text>
        <r>
          <rPr>
            <b/>
            <sz val="9"/>
            <color indexed="81"/>
            <rFont val="Tahoma"/>
            <family val="2"/>
            <charset val="204"/>
          </rPr>
          <t>УГНС</t>
        </r>
      </text>
    </comment>
    <comment ref="K27" authorId="0" shapeId="0" xr:uid="{8BF3BAA3-0D47-4205-AC84-5A3A731C9356}">
      <text>
        <r>
          <rPr>
            <b/>
            <sz val="9"/>
            <color indexed="81"/>
            <rFont val="Tahoma"/>
            <family val="2"/>
            <charset val="204"/>
          </rPr>
          <t>УГНС</t>
        </r>
      </text>
    </comment>
  </commentList>
</comments>
</file>

<file path=xl/sharedStrings.xml><?xml version="1.0" encoding="utf-8"?>
<sst xmlns="http://schemas.openxmlformats.org/spreadsheetml/2006/main" count="763" uniqueCount="308">
  <si>
    <t>№</t>
  </si>
  <si>
    <t>Мекеменин аталыша</t>
  </si>
  <si>
    <t>Статья</t>
  </si>
  <si>
    <t>Кыскартылган (кирешеге кошулган)
сумма</t>
  </si>
  <si>
    <t>Иш чаранын аталышы</t>
  </si>
  <si>
    <t>Жалал-Абад шаарынын мэриясы</t>
  </si>
  <si>
    <t>Мамлекеттик сатып алуулар порталындагы жарыялардан үнөмдөлгөн каражаттар</t>
  </si>
  <si>
    <t>Шаардык кенеш</t>
  </si>
  <si>
    <t>Капиталдык курулуш департаменти</t>
  </si>
  <si>
    <t>Коммуналдык чарба департаменти</t>
  </si>
  <si>
    <t>Жашылдандыруу чарбасы</t>
  </si>
  <si>
    <t>Курманбек стадион</t>
  </si>
  <si>
    <t>Маалымат борбору</t>
  </si>
  <si>
    <t>Мектептер</t>
  </si>
  <si>
    <t>Бала бакчалар</t>
  </si>
  <si>
    <t>М.Т.Конгантиев атындагы МАБ</t>
  </si>
  <si>
    <t>Кайрымдуулук борбору</t>
  </si>
  <si>
    <t>Кошумча суралган сумма</t>
  </si>
  <si>
    <t>Шаардык жол башкармалыгы</t>
  </si>
  <si>
    <t>Жер ресурстар башкармалыгы</t>
  </si>
  <si>
    <t>Мектептен сырткаркы мекемелер</t>
  </si>
  <si>
    <t>Муниципалдык мүлк башкармалыгы</t>
  </si>
  <si>
    <t>Жалпы</t>
  </si>
  <si>
    <t>Кызматкерлерди окутууга</t>
  </si>
  <si>
    <t>Маданият сарайы</t>
  </si>
  <si>
    <t>Кошумча суралган чыгымдар</t>
  </si>
  <si>
    <t>Киреше бөлүгүнө кошумча план (Жер ижарасы)</t>
  </si>
  <si>
    <t>Жалал-Абад Тазалык</t>
  </si>
  <si>
    <t>Насыяны кайтарууга</t>
  </si>
  <si>
    <t>Элемент
(8)</t>
  </si>
  <si>
    <t xml:space="preserve">Киреше  булактарынын аттары. </t>
  </si>
  <si>
    <t>Кыргыз Республикасынын резиденттери-жеке жактардан алынуучу киреше салыгы</t>
  </si>
  <si>
    <t>Милдеттүү патенттин негизинде салык</t>
  </si>
  <si>
    <t>Ыктыярдуу патенттин негизинде салык</t>
  </si>
  <si>
    <t>Патенттин негизинде салык</t>
  </si>
  <si>
    <t>Чекене сооданын негизинде салык салуунун жонокойлотулгон системасы боюнча салык</t>
  </si>
  <si>
    <t>Роялти</t>
  </si>
  <si>
    <t>Жалпы мамлекеттик салыктардын жыйынтыгы</t>
  </si>
  <si>
    <t>Турак жайга же жайга мүлк салыгы</t>
  </si>
  <si>
    <t>Турак жай эмес имаратка жана жайга мүлк салыгы</t>
  </si>
  <si>
    <t>3-топтогу ишкердик иши үчүн пайдаланылган кыймылсыз мүлккө салык</t>
  </si>
  <si>
    <t>Кыймылдуу мүлккө салык (транспорттук каражаттарга)</t>
  </si>
  <si>
    <t>Жанаша, короо жай жана багбанчылык-огород жер участокторуна мүлк салыгы</t>
  </si>
  <si>
    <t>Айыл чарба жерлерине тиешелүү жерлерге мүлк салыгы</t>
  </si>
  <si>
    <t>Калктуу конуштардын жерлерине жана айыл чарба багытында болбогон жерлерге мүлк салыгы</t>
  </si>
  <si>
    <t>Калктуу пункттардын таштандысын чыгаруу үчүн жыйым</t>
  </si>
  <si>
    <t>Жергиликтүү маанидеги инфраструктураны өнүктүрүүгө жана күтүүгө чегерүүлөр</t>
  </si>
  <si>
    <t>Жергиликтуу бюджеттин башка жана болок салыктары</t>
  </si>
  <si>
    <t>Бекитилген кирешелердин жыйынтыгы</t>
  </si>
  <si>
    <t>Салык кызматтары аркылуу чогултулган киреше</t>
  </si>
  <si>
    <t>Калктуу конуштарда жер ижарасы үчүн акы, анын ичинен:</t>
  </si>
  <si>
    <t xml:space="preserve">Шаардык жер ресурстар башкармалыгы </t>
  </si>
  <si>
    <t>Курулуш базарынан түшүүчү киреше</t>
  </si>
  <si>
    <t>Жаны муниципалдык базар (Шабдалы-Зар)</t>
  </si>
  <si>
    <t>Жайыт жерлерди пайдалануу үчүн жыйым</t>
  </si>
  <si>
    <t>Айыл чарбасына жарактуу жерлердин мамлекеттик фондунун жерлерин иштетүү үчүн ижара акысы (ФПЗ)</t>
  </si>
  <si>
    <t>Муниципалдык менчикте турган жайлардын, имараттардын, курулмалардын, жабдуулардын жана техникалардын ижара акысы</t>
  </si>
  <si>
    <t>Жер ресурстары башкармалыгы</t>
  </si>
  <si>
    <t>Дагы башка мүлк ижарасы үчүн акы</t>
  </si>
  <si>
    <t>Автотранспортту парковкалоо жана автотоктотмо үчүн жыйымдар</t>
  </si>
  <si>
    <t>Дагы башка төлөмдөр (Сертификаттарды жана башка уруксат беруучу документтердин акысы)</t>
  </si>
  <si>
    <t>Алкоголдук продукцияны сатууга лицензия алган субъекттерден этил спирттин жана алкоголдук продукцияны өндүрүү жана жүгүртүү боюнча ишти ишке ашыруу үчүн жыйым</t>
  </si>
  <si>
    <t>Жер казынасын пайдалануу укугуна лицензияны кармоо үчүн акы</t>
  </si>
  <si>
    <t>Контролдук-көзөмөл чараларын жүргүзүүдөн түшүүлөр</t>
  </si>
  <si>
    <t>Экономикалык кылмыштар боюнча келтирилген зыяндын ордун толтуруу</t>
  </si>
  <si>
    <t>Мамлекеттин пайдасына айлантылган кирешелер</t>
  </si>
  <si>
    <t>Жеңил автомобилдерди сатуу</t>
  </si>
  <si>
    <t>Институционалдык имаратарды сатуу</t>
  </si>
  <si>
    <t>Башка имараттарды сатуу</t>
  </si>
  <si>
    <t>Жук ташуучу машиналарды сатуу</t>
  </si>
  <si>
    <t>Башка транспорт каражаттарын сатуу</t>
  </si>
  <si>
    <t>Жер ресурстары башкармалыгы, Муниципалдык мүлк башкармалыгы аркылуу чогултулган жыйымдар жана төлөмдөр</t>
  </si>
  <si>
    <t xml:space="preserve">Жалпы салык жана салык эмес  кирешелер </t>
  </si>
  <si>
    <t>Атайын төлөмдөрдөн түшүүчү кирешелер</t>
  </si>
  <si>
    <t>Мектепке чейинки жана мектеп мекемелерине кошумча кызмат көрсөтүү акысы</t>
  </si>
  <si>
    <t>Классификацияланбаган билим берүү жана маданият кызмат көрсөт. үчүн акы</t>
  </si>
  <si>
    <t xml:space="preserve">Маалымат берүү жана басып чыгаруу  боюнча классификацияланбаган кызмат көрсөтүүлөр акысы </t>
  </si>
  <si>
    <t>Кызмат көрсөтүүнүн башка классификацияланбаган түрлөрү үчүн акы</t>
  </si>
  <si>
    <t>Учурдагы жардам</t>
  </si>
  <si>
    <t>Капиталдык жардам</t>
  </si>
  <si>
    <t>Атайын төлөмдөрдөн түшүүчү кирешелердин жыйынтыгы</t>
  </si>
  <si>
    <t>Республикалык бюджеттен тушуучу каражат (максаттуу трансферттер)</t>
  </si>
  <si>
    <t>Теңдөөчү трансферттер (грант)</t>
  </si>
  <si>
    <t>Жергиликтүү бюджеттер арасында максаттуу трансферттер</t>
  </si>
  <si>
    <t>Жалпы кирешелер жана атайын төлөмдөр</t>
  </si>
  <si>
    <t>2025-жылга такталган план</t>
  </si>
  <si>
    <t>МСК кошумча киреше (киреше  салыгы)</t>
  </si>
  <si>
    <t>Бюджттин киреше бөлүгүн көбөйтүү</t>
  </si>
  <si>
    <t>Жетекчи столу (комплект)</t>
  </si>
  <si>
    <t>Жыйналыш столу 3,6 х 1,5 (комплект, Т-образный)</t>
  </si>
  <si>
    <t>10 даана стул</t>
  </si>
  <si>
    <t>Кеңсе буюмдарына кошумча каражат</t>
  </si>
  <si>
    <t>Мал санакка кошумча (соц фонд)</t>
  </si>
  <si>
    <t>Баннер жасатууга</t>
  </si>
  <si>
    <t>Аскер комиссариаты</t>
  </si>
  <si>
    <t>Аскер комиссариатынын имаратынын бөлмөлөрүндөгү жалюзилерди алмаштырууга</t>
  </si>
  <si>
    <t>Аскер комиссариатынын имаратынын коридорун жана жыйындар залын оңдоп-түзөөгө</t>
  </si>
  <si>
    <t>Автоматикалык СКУД аппаратын орнотууга</t>
  </si>
  <si>
    <t>Жүргүнчүлөрдү ташуу автобазасы</t>
  </si>
  <si>
    <t>Кыргызгипрозем мамлекеттик ишканасынын талабына ылайык, компьютерлерге жесткий диск алууга (33,0 миң сом*15 даана=495,0 миң)</t>
  </si>
  <si>
    <t>Муниципалдык ижараны электрондук эсепке алуу боюнча бирдиктүү системасын киргизүүгө</t>
  </si>
  <si>
    <t>Мобилдик тиркеменин жылдык акы төлөмүнө (Play market)</t>
  </si>
  <si>
    <t>Мобилдик тиркеменин жылдык акы төлөмүнө (App store)</t>
  </si>
  <si>
    <t>ЭЦП узартууга</t>
  </si>
  <si>
    <t>Тех паспорт, мамлекеттик актыларды жасатууга</t>
  </si>
  <si>
    <t>АПШ, ИТШ даярдоого</t>
  </si>
  <si>
    <t>РЭСтен техникалык мүнөздөмөлөрдү алууга</t>
  </si>
  <si>
    <t xml:space="preserve">Автоунаабазардын интернетине </t>
  </si>
  <si>
    <t>Мүлктөрдү каттоого</t>
  </si>
  <si>
    <t>Килем жуучу машинага жуучу каражаттар, Адм.зданияга хоз.товарларга</t>
  </si>
  <si>
    <t>Оркестрге музыкалык аспаптарды алууга</t>
  </si>
  <si>
    <t>Оркестрге кийимдерди алууга</t>
  </si>
  <si>
    <t>Аппараттарды ондоп-түзөөгө</t>
  </si>
  <si>
    <t>Көчмөндөр оюнунун форумун уюштурууга</t>
  </si>
  <si>
    <t>№17 мектеке душевой курууга</t>
  </si>
  <si>
    <t>Мектептердин имараттарын камсыздандырууга</t>
  </si>
  <si>
    <t>№15 бала бакчасына унитаз орнотуу/ремонттоо</t>
  </si>
  <si>
    <t>Эффективдүү группаларды ачууга эмерек жана жабдууларды алууга</t>
  </si>
  <si>
    <t>Социалдык камсыздоо жана миграция башкармалыгы</t>
  </si>
  <si>
    <t>Жыл ичинде иштетилбей үнөмдөлгөн каражат</t>
  </si>
  <si>
    <t>Штатив алууга</t>
  </si>
  <si>
    <t>4 даана петличка алууга</t>
  </si>
  <si>
    <t>Батарейка зарядниги менен алууга</t>
  </si>
  <si>
    <t>Транспорттук чыгымдар</t>
  </si>
  <si>
    <t>Абжал Ташиев көчөсүн асфальттоого</t>
  </si>
  <si>
    <t>Чарбалык буюмдарды алууга</t>
  </si>
  <si>
    <t>Эсептөө палатасынын актысына ылайык</t>
  </si>
  <si>
    <t>Музей</t>
  </si>
  <si>
    <t>Интернет хаб сатып алуу үчүн</t>
  </si>
  <si>
    <t>Мекеменин аталышы</t>
  </si>
  <si>
    <t>Берене</t>
  </si>
  <si>
    <t>Спутник МАБ</t>
  </si>
  <si>
    <t>Т. Тайгараев МАБ</t>
  </si>
  <si>
    <t>Курорт тротуар</t>
  </si>
  <si>
    <t>Жыл башына калган калдык</t>
  </si>
  <si>
    <t>"Манас Водоканал" мекемеси</t>
  </si>
  <si>
    <t>Үлүштүк каржылоо</t>
  </si>
  <si>
    <t>Долбоорлорго үлүтүк каржылоого</t>
  </si>
  <si>
    <t>Штаттык бирдиктердин коэффициенттерин тууралоо</t>
  </si>
  <si>
    <t>"Алтын-Балалык" лагери</t>
  </si>
  <si>
    <t>Эмгек акы көтөрүлгөндүгүнө байланыштуу</t>
  </si>
  <si>
    <t>№14 мектепке видео байкоо орнотууга</t>
  </si>
  <si>
    <t>№27 мектептин ачылышына жалюзи, пардаларды сатып алууга</t>
  </si>
  <si>
    <t>№27 мектептин ачылышына стенд, баннер, табличка ж.б. Жасатууга</t>
  </si>
  <si>
    <t>Шаардагы курулуш иштерине</t>
  </si>
  <si>
    <t>Депутаттардын Жалал-Абад шаардын кеңешинин</t>
  </si>
  <si>
    <t>__.__.2025-жылдагы</t>
  </si>
  <si>
    <t>__-токтомуна</t>
  </si>
  <si>
    <t>Манас шаарынын мэриясынын Маалымат борборунун штаттык ырааттамасы</t>
  </si>
  <si>
    <t>Кызматтын аталышы</t>
  </si>
  <si>
    <t>Бирдиктердин саны</t>
  </si>
  <si>
    <t>Базалык ставка</t>
  </si>
  <si>
    <t xml:space="preserve">Коэффициент </t>
  </si>
  <si>
    <t>Кызматтык маяна</t>
  </si>
  <si>
    <t>Үстөктөр жана кошумча акылар</t>
  </si>
  <si>
    <t>Бир айлык эмгек акы 
(бир кишиге)</t>
  </si>
  <si>
    <t xml:space="preserve">Жалпы бир айлык эмгек акы 
</t>
  </si>
  <si>
    <t>Эмгек өргү</t>
  </si>
  <si>
    <t>2 эмгек өргүүгө каралган даарылануучу жөлөк пул</t>
  </si>
  <si>
    <t>13 эмгек акы</t>
  </si>
  <si>
    <t xml:space="preserve">Эмгек акы жылдык фонду </t>
  </si>
  <si>
    <t xml:space="preserve">Социалдык фондко төлөөгө </t>
  </si>
  <si>
    <t xml:space="preserve">Эмгек акы төлөмдөрүнүн жылдык фонду </t>
  </si>
  <si>
    <t>Эмгек стаж (мамлекеттик /муницип. ж.б стаж)</t>
  </si>
  <si>
    <t>Класстык чин</t>
  </si>
  <si>
    <t>Иштин жашырын мунозу учун кошумча устоктор, 25%</t>
  </si>
  <si>
    <t>Жумуштун оордугуна кошумча төлөм,  25% (мэрия, кенеш), 10%  (структуралык мекемелер)</t>
  </si>
  <si>
    <t>Шаардык кенештен кошулган үстөктөр</t>
  </si>
  <si>
    <t>КР Өкмөтү тарабынан кошулуучу бөлөк үстөктөр</t>
  </si>
  <si>
    <t>%</t>
  </si>
  <si>
    <t>сумма</t>
  </si>
  <si>
    <t>15</t>
  </si>
  <si>
    <t>16</t>
  </si>
  <si>
    <t>17</t>
  </si>
  <si>
    <t>18</t>
  </si>
  <si>
    <t>Жетекчи</t>
  </si>
  <si>
    <t>Ага кабарчы</t>
  </si>
  <si>
    <t>Башкы эсепчи</t>
  </si>
  <si>
    <t>Администратор веб-сайт</t>
  </si>
  <si>
    <t>Кабарчы</t>
  </si>
  <si>
    <t>Монтажер-оператор</t>
  </si>
  <si>
    <t>Видео-оператор</t>
  </si>
  <si>
    <t>ЛЭД-экран иштетүүчү адис</t>
  </si>
  <si>
    <t>Жалпы эсеби</t>
  </si>
  <si>
    <t>Манас шаарынын мэриясынын Жолдор башкармалыгынын штаттык ырааттамасы</t>
  </si>
  <si>
    <t>Жумуштун оордугуна кошумча толом,  25% (мэрия, кенеш), 10%  (структуралык мекемелер)</t>
  </si>
  <si>
    <t xml:space="preserve">Жетекчи </t>
  </si>
  <si>
    <t>Башкы инженер</t>
  </si>
  <si>
    <t>Курулуш бөлүм башчы, инженер</t>
  </si>
  <si>
    <t>Юрист</t>
  </si>
  <si>
    <t>ОТБ нын инженери</t>
  </si>
  <si>
    <t>Геодезист</t>
  </si>
  <si>
    <t>Участканын башчысы (АБЗ)</t>
  </si>
  <si>
    <t>Прораб</t>
  </si>
  <si>
    <t>Жалпы жоопту кызматкерлер</t>
  </si>
  <si>
    <t>Жалпы ТТП</t>
  </si>
  <si>
    <t>Жалпы КТП</t>
  </si>
  <si>
    <t>Жыйынтыгы</t>
  </si>
  <si>
    <t>№ 13-тиркеме</t>
  </si>
  <si>
    <t>Манас шаарынын мэриясынын Коммуналдык чарба департаментинин штаттык ырааттамасы</t>
  </si>
  <si>
    <t>Директор</t>
  </si>
  <si>
    <t>ОТБ инженер</t>
  </si>
  <si>
    <t xml:space="preserve">Юрист </t>
  </si>
  <si>
    <t>Электрик</t>
  </si>
  <si>
    <t>Камсыздандыруудан түшкөн каражаттарга кошумча план</t>
  </si>
  <si>
    <t>Автоунаалардын тетиктерине</t>
  </si>
  <si>
    <t>2026-жылдын 1-июнуна чейинки эмгек акы</t>
  </si>
  <si>
    <t>Жалпы жооптуу кызматкерлер</t>
  </si>
  <si>
    <t>Президенттик компенсация</t>
  </si>
  <si>
    <t>19</t>
  </si>
  <si>
    <t>2026-жылдын 1-июнунан баштап төлөнүүчү эмгек акы</t>
  </si>
  <si>
    <t>Айырмасы</t>
  </si>
  <si>
    <t>Манас шаарынын мэриясынын Муниципиалдык мүлк башкармалыгынын штаттык ырааттамасы</t>
  </si>
  <si>
    <t>Премиялар</t>
  </si>
  <si>
    <t>Эмгек өргүү</t>
  </si>
  <si>
    <t>Кошумча үстөк атайын эсептен</t>
  </si>
  <si>
    <t>20</t>
  </si>
  <si>
    <t>21</t>
  </si>
  <si>
    <t>Борбордук Базар</t>
  </si>
  <si>
    <t>Короо тазалагыч</t>
  </si>
  <si>
    <t>Күзөтчү</t>
  </si>
  <si>
    <t xml:space="preserve">Строй Маркет </t>
  </si>
  <si>
    <t>Коро тазалоочу</t>
  </si>
  <si>
    <t>Шабдалы-Зар базары</t>
  </si>
  <si>
    <t xml:space="preserve">Күзөтчү </t>
  </si>
  <si>
    <t xml:space="preserve">Тазалоочу </t>
  </si>
  <si>
    <t>2026-жылдын 1-апрелине чейинки эмгек акы</t>
  </si>
  <si>
    <t>1 адамга</t>
  </si>
  <si>
    <t>22</t>
  </si>
  <si>
    <t>23</t>
  </si>
  <si>
    <t>№ 15а-тиркеме</t>
  </si>
  <si>
    <t>Манас шаарынын мэриясынын "Тазалык" муниципалдык мекемесинин атайын эсебинен штаттык ырааттамасы</t>
  </si>
  <si>
    <t xml:space="preserve">Жалпы бир айлык эмгек акы </t>
  </si>
  <si>
    <t>Үнөмдөөчү</t>
  </si>
  <si>
    <t>Эсепчи расчеттук</t>
  </si>
  <si>
    <t>Эсепчи материалдык</t>
  </si>
  <si>
    <t>Казначы</t>
  </si>
  <si>
    <t>Механик</t>
  </si>
  <si>
    <t>Нарколог</t>
  </si>
  <si>
    <t>Мергенчи</t>
  </si>
  <si>
    <t>Мергенчи (бригадир)</t>
  </si>
  <si>
    <t>Тазалыкты сактоочу</t>
  </si>
  <si>
    <t>Айдоочу</t>
  </si>
  <si>
    <t>Тракторист</t>
  </si>
  <si>
    <t>Ширетуучу, электрик козомол</t>
  </si>
  <si>
    <t>Слесарь (Токарь)</t>
  </si>
  <si>
    <t>Жумушчу</t>
  </si>
  <si>
    <t>Кароолчу</t>
  </si>
  <si>
    <t>Кассир</t>
  </si>
  <si>
    <t>Айып короонун кароолчулары</t>
  </si>
  <si>
    <t>Атайын автоунаа айдоочулар</t>
  </si>
  <si>
    <t>Атайын эсептен кошулган үстөк акы</t>
  </si>
  <si>
    <t>2026-жылдын 1-апрелинен баштап төлөнүүчү эмгек акы</t>
  </si>
  <si>
    <t>Айрымасы</t>
  </si>
  <si>
    <t>Үн жаздыруучу студия жасоого каралган каражаттан 250,0 миң сом - монтаждоочу компьютер алууга, 70,0 миң сомго объектив (sony) алууга</t>
  </si>
  <si>
    <t>Байрактар (шефство)</t>
  </si>
  <si>
    <t>Шабдалызар базарына трансформаторду оңдоого</t>
  </si>
  <si>
    <t xml:space="preserve"> </t>
  </si>
  <si>
    <t>2024-жылга факт</t>
  </si>
  <si>
    <t>2025-жылга бекитилген план</t>
  </si>
  <si>
    <t>2025-жылдын 12-айынын фактысы</t>
  </si>
  <si>
    <t>2026-жылга бюджет</t>
  </si>
  <si>
    <t>КР ФМ сунушу</t>
  </si>
  <si>
    <t>Бекитилген бюджет</t>
  </si>
  <si>
    <t>Такталган бюджет 
(1-өзгөртүү)</t>
  </si>
  <si>
    <t>Парктардагы суу насосторду учурда оңдоого</t>
  </si>
  <si>
    <t>Жумушчуларга керектелүүчү кийимдер</t>
  </si>
  <si>
    <t>Шаар көчөлөрүн кооздоого</t>
  </si>
  <si>
    <t>Керектелүүчү жабдууларды алууга</t>
  </si>
  <si>
    <t>Жергиликтүү бюджеттен үнөмдөлгөн эмгек акы</t>
  </si>
  <si>
    <t>Манас шаарынын 2026-жылдагы бюджетине өзгөртүүлөр боюнча түшүндүрмө каты</t>
  </si>
  <si>
    <t>Манас шаарынын жергиликтүү бюджетинин кирешелер боюнча 2026-жылга такталган долбоору</t>
  </si>
  <si>
    <t xml:space="preserve">Манас шаарынын 2026-жылдагы бюджетине өзгөртүүлөр боюнча түшүндүрмө каты (атайын эсеп)
</t>
  </si>
  <si>
    <t>Эмгек акы көтөрүлгөндүгүнө байланыштуу (ТОП/МОП)</t>
  </si>
  <si>
    <t>Башка тейлөө кызматтарга каралган каражат (Жыл башына калган калдык)</t>
  </si>
  <si>
    <t>Комиссияда кыскарган</t>
  </si>
  <si>
    <t>Комиссияда кошулган</t>
  </si>
  <si>
    <t>ОГМВ мүчөлүк төлөм</t>
  </si>
  <si>
    <t>Долбоорлордун техникалык көзөмөлүнө</t>
  </si>
  <si>
    <t>2 даана планшет</t>
  </si>
  <si>
    <t>Гүл көчөттөрдү алууга</t>
  </si>
  <si>
    <t>Брусчатка чыгарууга каралган каражаттан</t>
  </si>
  <si>
    <t>Жарыктандырууга</t>
  </si>
  <si>
    <t>Жол сызыктарын чийүүгө</t>
  </si>
  <si>
    <t>ФК и Спорт</t>
  </si>
  <si>
    <t>Электроэнергия кошумча</t>
  </si>
  <si>
    <t>Спорттук иш чараларга</t>
  </si>
  <si>
    <t>Көмүргө каралган каражаттан</t>
  </si>
  <si>
    <t>ПСД жасатууга</t>
  </si>
  <si>
    <t>атайын эсеп</t>
  </si>
  <si>
    <t xml:space="preserve">Манас шаардык кеңешинин </t>
  </si>
  <si>
    <t>28.05.2026-жылдагы</t>
  </si>
  <si>
    <t>кезектеги XXVI сессиясынын</t>
  </si>
  <si>
    <t>№1-токтомуна</t>
  </si>
  <si>
    <t>№1-тиркеме</t>
  </si>
  <si>
    <t>№2-тиркеме</t>
  </si>
  <si>
    <t>№2а-тиркеме</t>
  </si>
  <si>
    <t>№3-тиркеме</t>
  </si>
  <si>
    <t>№4-тиркеме</t>
  </si>
  <si>
    <t>№5-тиркеме</t>
  </si>
  <si>
    <t>№6-тиркеме</t>
  </si>
  <si>
    <t>Жооптуу катчы                                                                                                                                                                                                                                   Осмонова Г.О.</t>
  </si>
  <si>
    <t>Жооптуу катчы                                                                                                                                                                                                                                 Осмонова Г.О.</t>
  </si>
  <si>
    <t>Жооптуу катчы</t>
  </si>
  <si>
    <t>Осмонова Г.О.</t>
  </si>
  <si>
    <t>Насыяны кайтарууга 30 млн, 8 млн резервуар курууга</t>
  </si>
  <si>
    <t>№10 мектептин заборун жылдырууга</t>
  </si>
  <si>
    <t>Өзгөчө кырдаалдарга кошумча каражат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</si>
</sst>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0.0000"/>
  </numFmts>
  <fonts count="48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name val="Times New Roman CE"/>
      <family val="1"/>
      <charset val="238"/>
    </font>
    <font>
      <sz val="10"/>
      <name val="Times New Roman CE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 CE"/>
      <family val="1"/>
      <charset val="238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04"/>
    </font>
    <font>
      <b/>
      <sz val="10"/>
      <color theme="1"/>
      <name val="Times New Roman CE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 CE"/>
      <charset val="204"/>
    </font>
    <font>
      <i/>
      <sz val="10"/>
      <color theme="1"/>
      <name val="Times New Roman CE"/>
      <charset val="204"/>
    </font>
    <font>
      <sz val="10"/>
      <name val="Times New Roman CE"/>
      <family val="1"/>
      <charset val="204"/>
    </font>
    <font>
      <sz val="10"/>
      <color theme="1"/>
      <name val="Times New Roman CE"/>
      <charset val="204"/>
    </font>
    <font>
      <sz val="10"/>
      <color theme="1"/>
      <name val="Times New Roman CE"/>
      <family val="1"/>
      <charset val="204"/>
    </font>
    <font>
      <i/>
      <sz val="10"/>
      <name val="Times New Roman CE"/>
      <family val="1"/>
      <charset val="204"/>
    </font>
    <font>
      <i/>
      <sz val="10"/>
      <color theme="1"/>
      <name val="Times New Roman CE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theme="1"/>
      <name val="Times New Roman CE"/>
      <charset val="204"/>
    </font>
    <font>
      <b/>
      <sz val="10"/>
      <name val="Times New Roman CE"/>
      <charset val="204"/>
    </font>
    <font>
      <sz val="11"/>
      <name val="Times New Roman"/>
      <family val="1"/>
      <charset val="204"/>
    </font>
    <font>
      <b/>
      <sz val="10"/>
      <name val="Times New Roman CE"/>
      <family val="1"/>
      <charset val="238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b/>
      <sz val="10"/>
      <color rgb="FF0070C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Times New Roman"/>
      <family val="2"/>
      <charset val="204"/>
    </font>
    <font>
      <b/>
      <sz val="1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i/>
      <sz val="10"/>
      <color theme="1"/>
      <name val="Times New Roman CE"/>
      <family val="1"/>
      <charset val="204"/>
    </font>
    <font>
      <b/>
      <i/>
      <sz val="10"/>
      <name val="Times New Roman CE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8" fillId="0" borderId="0"/>
    <xf numFmtId="0" fontId="8" fillId="0" borderId="0"/>
    <xf numFmtId="9" fontId="37" fillId="0" borderId="0" applyFont="0" applyFill="0" applyBorder="0" applyAlignment="0" applyProtection="0"/>
    <xf numFmtId="0" fontId="1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385">
    <xf numFmtId="0" fontId="0" fillId="0" borderId="0" xfId="0"/>
    <xf numFmtId="0" fontId="2" fillId="0" borderId="0" xfId="0" applyFont="1"/>
    <xf numFmtId="0" fontId="4" fillId="0" borderId="0" xfId="1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5" fontId="2" fillId="0" borderId="0" xfId="0" applyNumberFormat="1" applyFont="1"/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165" fontId="4" fillId="0" borderId="2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/>
    </xf>
    <xf numFmtId="165" fontId="7" fillId="0" borderId="0" xfId="0" applyNumberFormat="1" applyFont="1"/>
    <xf numFmtId="0" fontId="4" fillId="0" borderId="0" xfId="0" applyFont="1" applyAlignment="1">
      <alignment vertical="center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9" fillId="0" borderId="0" xfId="0" applyFont="1"/>
    <xf numFmtId="165" fontId="9" fillId="0" borderId="0" xfId="0" applyNumberFormat="1" applyFont="1"/>
    <xf numFmtId="0" fontId="4" fillId="0" borderId="2" xfId="1" applyFont="1" applyBorder="1" applyAlignment="1">
      <alignment horizontal="center" wrapText="1"/>
    </xf>
    <xf numFmtId="0" fontId="4" fillId="0" borderId="2" xfId="1" applyFont="1" applyBorder="1" applyAlignment="1">
      <alignment horizontal="center"/>
    </xf>
    <xf numFmtId="0" fontId="12" fillId="0" borderId="2" xfId="1" applyFont="1" applyBorder="1"/>
    <xf numFmtId="0" fontId="13" fillId="0" borderId="2" xfId="1" applyFont="1" applyBorder="1"/>
    <xf numFmtId="0" fontId="4" fillId="0" borderId="2" xfId="1" applyFont="1" applyBorder="1" applyAlignment="1">
      <alignment horizontal="left" vertical="center" wrapText="1"/>
    </xf>
    <xf numFmtId="1" fontId="10" fillId="0" borderId="2" xfId="1" applyNumberFormat="1" applyFont="1" applyBorder="1"/>
    <xf numFmtId="0" fontId="4" fillId="0" borderId="2" xfId="1" applyFont="1" applyBorder="1"/>
    <xf numFmtId="0" fontId="6" fillId="0" borderId="2" xfId="0" applyFont="1" applyBorder="1"/>
    <xf numFmtId="0" fontId="4" fillId="0" borderId="2" xfId="1" applyFont="1" applyBorder="1" applyAlignment="1">
      <alignment wrapText="1"/>
    </xf>
    <xf numFmtId="0" fontId="5" fillId="0" borderId="2" xfId="1" applyFont="1" applyBorder="1"/>
    <xf numFmtId="0" fontId="15" fillId="0" borderId="2" xfId="1" applyFont="1" applyBorder="1" applyAlignment="1">
      <alignment horizontal="center"/>
    </xf>
    <xf numFmtId="0" fontId="10" fillId="0" borderId="2" xfId="1" applyFont="1" applyBorder="1" applyAlignment="1">
      <alignment horizontal="left" vertical="center" wrapText="1"/>
    </xf>
    <xf numFmtId="164" fontId="15" fillId="0" borderId="2" xfId="1" applyNumberFormat="1" applyFont="1" applyBorder="1"/>
    <xf numFmtId="164" fontId="6" fillId="0" borderId="0" xfId="0" applyNumberFormat="1" applyFont="1"/>
    <xf numFmtId="0" fontId="15" fillId="0" borderId="2" xfId="1" applyFont="1" applyBorder="1" applyAlignment="1">
      <alignment horizontal="center" wrapText="1"/>
    </xf>
    <xf numFmtId="1" fontId="17" fillId="0" borderId="2" xfId="1" applyNumberFormat="1" applyFont="1" applyBorder="1"/>
    <xf numFmtId="164" fontId="18" fillId="0" borderId="2" xfId="1" applyNumberFormat="1" applyFont="1" applyBorder="1"/>
    <xf numFmtId="0" fontId="19" fillId="0" borderId="0" xfId="0" applyFont="1"/>
    <xf numFmtId="0" fontId="12" fillId="0" borderId="2" xfId="1" applyFont="1" applyBorder="1" applyAlignment="1">
      <alignment vertical="center"/>
    </xf>
    <xf numFmtId="1" fontId="23" fillId="0" borderId="2" xfId="1" applyNumberFormat="1" applyFont="1" applyBorder="1"/>
    <xf numFmtId="164" fontId="25" fillId="0" borderId="2" xfId="1" applyNumberFormat="1" applyFont="1" applyBorder="1"/>
    <xf numFmtId="164" fontId="23" fillId="0" borderId="2" xfId="1" applyNumberFormat="1" applyFont="1" applyBorder="1"/>
    <xf numFmtId="0" fontId="20" fillId="0" borderId="2" xfId="1" applyFont="1" applyBorder="1" applyAlignment="1">
      <alignment wrapText="1"/>
    </xf>
    <xf numFmtId="0" fontId="10" fillId="0" borderId="2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wrapText="1"/>
    </xf>
    <xf numFmtId="164" fontId="19" fillId="0" borderId="2" xfId="0" applyNumberFormat="1" applyFont="1" applyBorder="1"/>
    <xf numFmtId="164" fontId="30" fillId="0" borderId="7" xfId="1" applyNumberFormat="1" applyFont="1" applyBorder="1"/>
    <xf numFmtId="164" fontId="6" fillId="0" borderId="2" xfId="1" applyNumberFormat="1" applyFont="1" applyBorder="1"/>
    <xf numFmtId="164" fontId="4" fillId="0" borderId="2" xfId="1" applyNumberFormat="1" applyFont="1" applyBorder="1"/>
    <xf numFmtId="164" fontId="6" fillId="0" borderId="2" xfId="0" applyNumberFormat="1" applyFont="1" applyBorder="1"/>
    <xf numFmtId="0" fontId="31" fillId="0" borderId="2" xfId="1" applyFont="1" applyBorder="1" applyAlignment="1">
      <alignment horizontal="left" vertical="center"/>
    </xf>
    <xf numFmtId="0" fontId="33" fillId="0" borderId="0" xfId="1" applyFont="1"/>
    <xf numFmtId="0" fontId="34" fillId="0" borderId="0" xfId="0" applyFont="1"/>
    <xf numFmtId="164" fontId="17" fillId="0" borderId="2" xfId="1" applyNumberFormat="1" applyFont="1" applyBorder="1"/>
    <xf numFmtId="165" fontId="4" fillId="0" borderId="5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36" fillId="0" borderId="0" xfId="0" applyFont="1"/>
    <xf numFmtId="164" fontId="36" fillId="0" borderId="0" xfId="0" applyNumberFormat="1" applyFont="1"/>
    <xf numFmtId="164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9" fillId="0" borderId="0" xfId="0" applyNumberFormat="1" applyFont="1"/>
    <xf numFmtId="164" fontId="2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 wrapText="1"/>
    </xf>
    <xf numFmtId="164" fontId="5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4" fillId="0" borderId="0" xfId="0" applyNumberFormat="1" applyFont="1" applyAlignment="1">
      <alignment horizontal="right"/>
    </xf>
    <xf numFmtId="0" fontId="5" fillId="0" borderId="2" xfId="5" applyFont="1" applyBorder="1" applyAlignment="1">
      <alignment horizontal="center" vertical="center" textRotation="90" wrapText="1"/>
    </xf>
    <xf numFmtId="0" fontId="5" fillId="0" borderId="3" xfId="5" applyFont="1" applyBorder="1" applyAlignment="1">
      <alignment horizontal="center" vertical="center" textRotation="90" wrapText="1"/>
    </xf>
    <xf numFmtId="0" fontId="5" fillId="0" borderId="5" xfId="5" applyFont="1" applyBorder="1" applyAlignment="1">
      <alignment horizontal="center" vertical="center" textRotation="90" wrapText="1"/>
    </xf>
    <xf numFmtId="0" fontId="5" fillId="0" borderId="2" xfId="5" applyFont="1" applyBorder="1" applyAlignment="1">
      <alignment horizontal="center" vertical="center" wrapText="1"/>
    </xf>
    <xf numFmtId="49" fontId="5" fillId="0" borderId="2" xfId="5" applyNumberFormat="1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right" vertical="center" wrapText="1"/>
    </xf>
    <xf numFmtId="3" fontId="4" fillId="0" borderId="2" xfId="5" applyNumberFormat="1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9" fontId="4" fillId="0" borderId="2" xfId="4" applyFont="1" applyFill="1" applyBorder="1" applyAlignment="1">
      <alignment horizontal="right" vertical="center" wrapText="1"/>
    </xf>
    <xf numFmtId="1" fontId="12" fillId="0" borderId="2" xfId="6" applyNumberFormat="1" applyFont="1" applyFill="1" applyBorder="1" applyAlignment="1">
      <alignment horizontal="right" vertical="center"/>
    </xf>
    <xf numFmtId="1" fontId="4" fillId="0" borderId="2" xfId="4" applyNumberFormat="1" applyFont="1" applyFill="1" applyBorder="1" applyAlignment="1">
      <alignment horizontal="right" vertical="center" wrapText="1"/>
    </xf>
    <xf numFmtId="1" fontId="4" fillId="0" borderId="2" xfId="5" applyNumberFormat="1" applyFont="1" applyBorder="1" applyAlignment="1">
      <alignment horizontal="right" vertical="center" wrapText="1"/>
    </xf>
    <xf numFmtId="3" fontId="4" fillId="0" borderId="2" xfId="4" applyNumberFormat="1" applyFont="1" applyFill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1" fontId="4" fillId="0" borderId="2" xfId="6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0" fontId="19" fillId="0" borderId="2" xfId="5" applyFont="1" applyBorder="1"/>
    <xf numFmtId="49" fontId="5" fillId="0" borderId="2" xfId="5" applyNumberFormat="1" applyFont="1" applyBorder="1" applyAlignment="1">
      <alignment horizontal="center" wrapText="1"/>
    </xf>
    <xf numFmtId="0" fontId="40" fillId="0" borderId="0" xfId="0" applyFont="1"/>
    <xf numFmtId="0" fontId="5" fillId="0" borderId="0" xfId="5" applyFont="1" applyAlignment="1">
      <alignment horizontal="center" vertical="center" textRotation="90" wrapText="1"/>
    </xf>
    <xf numFmtId="0" fontId="12" fillId="0" borderId="2" xfId="0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9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9" fontId="6" fillId="0" borderId="2" xfId="7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2" fontId="12" fillId="3" borderId="5" xfId="0" applyNumberFormat="1" applyFont="1" applyFill="1" applyBorder="1" applyAlignment="1">
      <alignment horizontal="right" vertical="center"/>
    </xf>
    <xf numFmtId="1" fontId="6" fillId="0" borderId="2" xfId="0" applyNumberFormat="1" applyFont="1" applyBorder="1" applyAlignment="1">
      <alignment vertical="center"/>
    </xf>
    <xf numFmtId="0" fontId="5" fillId="0" borderId="2" xfId="5" applyFont="1" applyBorder="1" applyAlignment="1">
      <alignment horizontal="right" vertical="center" wrapText="1"/>
    </xf>
    <xf numFmtId="3" fontId="5" fillId="0" borderId="2" xfId="5" applyNumberFormat="1" applyFont="1" applyBorder="1" applyAlignment="1">
      <alignment horizontal="right" vertical="center" wrapText="1"/>
    </xf>
    <xf numFmtId="1" fontId="5" fillId="0" borderId="2" xfId="5" applyNumberFormat="1" applyFont="1" applyBorder="1" applyAlignment="1">
      <alignment horizontal="right" vertical="center" wrapText="1"/>
    </xf>
    <xf numFmtId="1" fontId="40" fillId="0" borderId="0" xfId="0" applyNumberFormat="1" applyFont="1"/>
    <xf numFmtId="1" fontId="41" fillId="0" borderId="0" xfId="0" applyNumberFormat="1" applyFont="1"/>
    <xf numFmtId="0" fontId="4" fillId="0" borderId="0" xfId="0" applyFont="1" applyAlignment="1">
      <alignment horizontal="left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4" fontId="4" fillId="3" borderId="2" xfId="5" applyNumberFormat="1" applyFont="1" applyFill="1" applyBorder="1" applyAlignment="1">
      <alignment horizontal="right" vertical="center" wrapText="1"/>
    </xf>
    <xf numFmtId="166" fontId="40" fillId="0" borderId="0" xfId="0" applyNumberFormat="1" applyFont="1"/>
    <xf numFmtId="3" fontId="5" fillId="0" borderId="2" xfId="5" applyNumberFormat="1" applyFont="1" applyBorder="1" applyAlignment="1">
      <alignment vertical="center" wrapText="1"/>
    </xf>
    <xf numFmtId="3" fontId="4" fillId="0" borderId="2" xfId="5" applyNumberFormat="1" applyFont="1" applyBorder="1" applyAlignment="1">
      <alignment vertical="center" wrapText="1"/>
    </xf>
    <xf numFmtId="4" fontId="4" fillId="0" borderId="2" xfId="5" applyNumberFormat="1" applyFont="1" applyBorder="1" applyAlignment="1">
      <alignment horizontal="right" vertical="center" wrapText="1"/>
    </xf>
    <xf numFmtId="3" fontId="19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3" fontId="40" fillId="0" borderId="0" xfId="0" applyNumberFormat="1" applyFont="1"/>
    <xf numFmtId="164" fontId="41" fillId="0" borderId="0" xfId="0" applyNumberFormat="1" applyFont="1"/>
    <xf numFmtId="1" fontId="6" fillId="0" borderId="2" xfId="0" applyNumberFormat="1" applyFont="1" applyBorder="1" applyAlignment="1">
      <alignment vertical="center" wrapText="1"/>
    </xf>
    <xf numFmtId="2" fontId="6" fillId="0" borderId="2" xfId="0" applyNumberFormat="1" applyFont="1" applyBorder="1" applyAlignment="1">
      <alignment vertical="center" wrapText="1"/>
    </xf>
    <xf numFmtId="9" fontId="4" fillId="0" borderId="2" xfId="4" applyFont="1" applyFill="1" applyBorder="1" applyAlignment="1">
      <alignment vertical="center" wrapText="1"/>
    </xf>
    <xf numFmtId="1" fontId="4" fillId="0" borderId="2" xfId="6" applyNumberFormat="1" applyFont="1" applyFill="1" applyBorder="1" applyAlignment="1">
      <alignment vertical="center"/>
    </xf>
    <xf numFmtId="1" fontId="4" fillId="0" borderId="2" xfId="4" applyNumberFormat="1" applyFont="1" applyFill="1" applyBorder="1" applyAlignment="1">
      <alignment vertical="center" wrapText="1"/>
    </xf>
    <xf numFmtId="1" fontId="4" fillId="0" borderId="2" xfId="5" applyNumberFormat="1" applyFont="1" applyBorder="1" applyAlignment="1">
      <alignment vertical="center" wrapText="1"/>
    </xf>
    <xf numFmtId="3" fontId="4" fillId="0" borderId="2" xfId="4" applyNumberFormat="1" applyFont="1" applyFill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165" fontId="6" fillId="0" borderId="2" xfId="0" applyNumberFormat="1" applyFont="1" applyBorder="1" applyAlignment="1">
      <alignment vertical="center" wrapText="1"/>
    </xf>
    <xf numFmtId="165" fontId="19" fillId="0" borderId="2" xfId="5" applyNumberFormat="1" applyFont="1" applyBorder="1" applyAlignment="1">
      <alignment vertical="center"/>
    </xf>
    <xf numFmtId="3" fontId="19" fillId="0" borderId="2" xfId="5" applyNumberFormat="1" applyFont="1" applyBorder="1" applyAlignment="1">
      <alignment vertical="center"/>
    </xf>
    <xf numFmtId="1" fontId="19" fillId="0" borderId="2" xfId="5" applyNumberFormat="1" applyFont="1" applyBorder="1" applyAlignment="1">
      <alignment vertical="center"/>
    </xf>
    <xf numFmtId="0" fontId="19" fillId="3" borderId="2" xfId="5" applyFont="1" applyFill="1" applyBorder="1"/>
    <xf numFmtId="49" fontId="5" fillId="3" borderId="2" xfId="5" applyNumberFormat="1" applyFont="1" applyFill="1" applyBorder="1" applyAlignment="1">
      <alignment horizontal="right" wrapText="1"/>
    </xf>
    <xf numFmtId="165" fontId="19" fillId="3" borderId="2" xfId="5" applyNumberFormat="1" applyFont="1" applyFill="1" applyBorder="1" applyAlignment="1">
      <alignment vertical="center"/>
    </xf>
    <xf numFmtId="3" fontId="19" fillId="3" borderId="2" xfId="5" applyNumberFormat="1" applyFont="1" applyFill="1" applyBorder="1" applyAlignment="1">
      <alignment vertical="center"/>
    </xf>
    <xf numFmtId="1" fontId="19" fillId="3" borderId="2" xfId="5" applyNumberFormat="1" applyFont="1" applyFill="1" applyBorder="1" applyAlignment="1">
      <alignment vertical="center"/>
    </xf>
    <xf numFmtId="0" fontId="17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5" applyFont="1" applyBorder="1" applyAlignment="1">
      <alignment horizontal="right" vertical="center" wrapText="1"/>
    </xf>
    <xf numFmtId="3" fontId="4" fillId="0" borderId="2" xfId="5" applyNumberFormat="1" applyFont="1" applyBorder="1" applyAlignment="1">
      <alignment horizontal="right" wrapText="1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44" fillId="0" borderId="0" xfId="0" applyFont="1"/>
    <xf numFmtId="0" fontId="6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vertical="center"/>
    </xf>
    <xf numFmtId="0" fontId="4" fillId="0" borderId="2" xfId="5" applyFont="1" applyBorder="1" applyAlignment="1">
      <alignment vertical="center" wrapText="1"/>
    </xf>
    <xf numFmtId="0" fontId="6" fillId="0" borderId="2" xfId="0" applyFont="1" applyBorder="1" applyAlignment="1">
      <alignment horizontal="left"/>
    </xf>
    <xf numFmtId="3" fontId="13" fillId="0" borderId="2" xfId="6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" fontId="13" fillId="0" borderId="2" xfId="6" applyNumberFormat="1" applyFont="1" applyFill="1" applyBorder="1" applyAlignment="1">
      <alignment horizontal="center" vertical="center"/>
    </xf>
    <xf numFmtId="1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center"/>
    </xf>
    <xf numFmtId="0" fontId="19" fillId="0" borderId="2" xfId="0" applyFont="1" applyBorder="1" applyAlignment="1">
      <alignment vertical="center"/>
    </xf>
    <xf numFmtId="2" fontId="5" fillId="0" borderId="2" xfId="0" applyNumberFormat="1" applyFont="1" applyBorder="1" applyAlignment="1">
      <alignment vertical="center"/>
    </xf>
    <xf numFmtId="1" fontId="5" fillId="0" borderId="2" xfId="5" applyNumberFormat="1" applyFont="1" applyBorder="1" applyAlignment="1">
      <alignment vertical="center" wrapText="1"/>
    </xf>
    <xf numFmtId="0" fontId="5" fillId="0" borderId="2" xfId="5" applyFont="1" applyBorder="1" applyAlignment="1">
      <alignment vertical="center" wrapText="1"/>
    </xf>
    <xf numFmtId="9" fontId="5" fillId="0" borderId="2" xfId="4" applyFont="1" applyFill="1" applyBorder="1" applyAlignment="1">
      <alignment vertical="center" wrapText="1"/>
    </xf>
    <xf numFmtId="1" fontId="44" fillId="0" borderId="0" xfId="0" applyNumberFormat="1" applyFont="1"/>
    <xf numFmtId="3" fontId="13" fillId="0" borderId="2" xfId="6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right" vertical="center"/>
    </xf>
    <xf numFmtId="0" fontId="19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right" vertical="center"/>
    </xf>
    <xf numFmtId="0" fontId="19" fillId="3" borderId="2" xfId="0" applyFont="1" applyFill="1" applyBorder="1" applyAlignment="1">
      <alignment vertical="center"/>
    </xf>
    <xf numFmtId="3" fontId="13" fillId="3" borderId="2" xfId="6" applyNumberFormat="1" applyFont="1" applyFill="1" applyBorder="1" applyAlignment="1">
      <alignment vertical="center"/>
    </xf>
    <xf numFmtId="2" fontId="5" fillId="3" borderId="2" xfId="0" applyNumberFormat="1" applyFont="1" applyFill="1" applyBorder="1" applyAlignment="1">
      <alignment vertical="center"/>
    </xf>
    <xf numFmtId="3" fontId="6" fillId="0" borderId="2" xfId="5" applyNumberFormat="1" applyFont="1" applyBorder="1" applyAlignment="1">
      <alignment horizontal="right" vertical="center" wrapText="1"/>
    </xf>
    <xf numFmtId="0" fontId="4" fillId="0" borderId="7" xfId="2" applyFont="1" applyBorder="1" applyAlignment="1">
      <alignment horizontal="left"/>
    </xf>
    <xf numFmtId="0" fontId="6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/>
    </xf>
    <xf numFmtId="165" fontId="4" fillId="0" borderId="2" xfId="6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wrapText="1"/>
    </xf>
    <xf numFmtId="0" fontId="5" fillId="3" borderId="2" xfId="5" applyFont="1" applyFill="1" applyBorder="1" applyAlignment="1">
      <alignment horizontal="center" vertical="center" wrapText="1"/>
    </xf>
    <xf numFmtId="0" fontId="5" fillId="3" borderId="2" xfId="5" applyFont="1" applyFill="1" applyBorder="1" applyAlignment="1">
      <alignment horizontal="right" vertical="center" wrapText="1"/>
    </xf>
    <xf numFmtId="3" fontId="5" fillId="3" borderId="2" xfId="5" applyNumberFormat="1" applyFont="1" applyFill="1" applyBorder="1" applyAlignment="1">
      <alignment vertical="center" wrapText="1"/>
    </xf>
    <xf numFmtId="3" fontId="19" fillId="3" borderId="2" xfId="0" applyNumberFormat="1" applyFont="1" applyFill="1" applyBorder="1" applyAlignment="1">
      <alignment horizontal="right" vertical="center" wrapText="1"/>
    </xf>
    <xf numFmtId="0" fontId="19" fillId="3" borderId="2" xfId="0" applyFont="1" applyFill="1" applyBorder="1" applyAlignment="1">
      <alignment horizontal="right" vertical="center" wrapText="1"/>
    </xf>
    <xf numFmtId="9" fontId="4" fillId="3" borderId="2" xfId="4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/>
    </xf>
    <xf numFmtId="2" fontId="6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9" fontId="6" fillId="3" borderId="2" xfId="7" applyFont="1" applyFill="1" applyBorder="1" applyAlignment="1">
      <alignment vertical="center"/>
    </xf>
    <xf numFmtId="0" fontId="4" fillId="0" borderId="0" xfId="1" applyFont="1"/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/>
    </xf>
    <xf numFmtId="164" fontId="14" fillId="0" borderId="6" xfId="1" applyNumberFormat="1" applyFont="1" applyBorder="1"/>
    <xf numFmtId="164" fontId="4" fillId="0" borderId="6" xfId="0" applyNumberFormat="1" applyFont="1" applyBorder="1" applyAlignment="1">
      <alignment wrapText="1"/>
    </xf>
    <xf numFmtId="164" fontId="4" fillId="0" borderId="7" xfId="0" applyNumberFormat="1" applyFont="1" applyBorder="1" applyAlignment="1">
      <alignment wrapText="1"/>
    </xf>
    <xf numFmtId="164" fontId="23" fillId="0" borderId="6" xfId="1" applyNumberFormat="1" applyFont="1" applyBorder="1"/>
    <xf numFmtId="164" fontId="23" fillId="0" borderId="14" xfId="1" applyNumberFormat="1" applyFont="1" applyBorder="1"/>
    <xf numFmtId="164" fontId="23" fillId="0" borderId="7" xfId="1" applyNumberFormat="1" applyFont="1" applyBorder="1"/>
    <xf numFmtId="0" fontId="6" fillId="0" borderId="6" xfId="0" applyFont="1" applyBorder="1"/>
    <xf numFmtId="164" fontId="25" fillId="0" borderId="14" xfId="1" applyNumberFormat="1" applyFont="1" applyBorder="1"/>
    <xf numFmtId="164" fontId="45" fillId="0" borderId="2" xfId="1" applyNumberFormat="1" applyFont="1" applyBorder="1"/>
    <xf numFmtId="164" fontId="46" fillId="0" borderId="2" xfId="1" applyNumberFormat="1" applyFont="1" applyBorder="1"/>
    <xf numFmtId="164" fontId="16" fillId="0" borderId="6" xfId="1" applyNumberFormat="1" applyFont="1" applyBorder="1"/>
    <xf numFmtId="164" fontId="46" fillId="0" borderId="6" xfId="1" applyNumberFormat="1" applyFont="1" applyBorder="1"/>
    <xf numFmtId="164" fontId="46" fillId="0" borderId="14" xfId="1" applyNumberFormat="1" applyFont="1" applyBorder="1"/>
    <xf numFmtId="164" fontId="46" fillId="0" borderId="7" xfId="1" applyNumberFormat="1" applyFont="1" applyBorder="1"/>
    <xf numFmtId="164" fontId="15" fillId="0" borderId="6" xfId="1" applyNumberFormat="1" applyFont="1" applyBorder="1"/>
    <xf numFmtId="164" fontId="15" fillId="0" borderId="14" xfId="1" applyNumberFormat="1" applyFont="1" applyBorder="1"/>
    <xf numFmtId="164" fontId="15" fillId="0" borderId="7" xfId="1" applyNumberFormat="1" applyFont="1" applyBorder="1"/>
    <xf numFmtId="164" fontId="18" fillId="0" borderId="6" xfId="1" applyNumberFormat="1" applyFont="1" applyBorder="1"/>
    <xf numFmtId="164" fontId="18" fillId="0" borderId="14" xfId="1" applyNumberFormat="1" applyFont="1" applyBorder="1"/>
    <xf numFmtId="164" fontId="18" fillId="0" borderId="7" xfId="1" applyNumberFormat="1" applyFont="1" applyBorder="1"/>
    <xf numFmtId="164" fontId="19" fillId="0" borderId="0" xfId="0" applyNumberFormat="1" applyFont="1"/>
    <xf numFmtId="164" fontId="22" fillId="5" borderId="2" xfId="1" applyNumberFormat="1" applyFont="1" applyFill="1" applyBorder="1"/>
    <xf numFmtId="164" fontId="21" fillId="5" borderId="2" xfId="1" applyNumberFormat="1" applyFont="1" applyFill="1" applyBorder="1"/>
    <xf numFmtId="164" fontId="21" fillId="5" borderId="6" xfId="1" applyNumberFormat="1" applyFont="1" applyFill="1" applyBorder="1"/>
    <xf numFmtId="164" fontId="21" fillId="5" borderId="14" xfId="1" applyNumberFormat="1" applyFont="1" applyFill="1" applyBorder="1"/>
    <xf numFmtId="164" fontId="21" fillId="5" borderId="7" xfId="1" applyNumberFormat="1" applyFont="1" applyFill="1" applyBorder="1"/>
    <xf numFmtId="0" fontId="20" fillId="6" borderId="2" xfId="1" applyFont="1" applyFill="1" applyBorder="1"/>
    <xf numFmtId="1" fontId="10" fillId="6" borderId="2" xfId="1" applyNumberFormat="1" applyFont="1" applyFill="1" applyBorder="1"/>
    <xf numFmtId="164" fontId="22" fillId="6" borderId="2" xfId="1" applyNumberFormat="1" applyFont="1" applyFill="1" applyBorder="1"/>
    <xf numFmtId="164" fontId="21" fillId="6" borderId="2" xfId="1" applyNumberFormat="1" applyFont="1" applyFill="1" applyBorder="1"/>
    <xf numFmtId="164" fontId="21" fillId="6" borderId="6" xfId="1" applyNumberFormat="1" applyFont="1" applyFill="1" applyBorder="1"/>
    <xf numFmtId="164" fontId="21" fillId="6" borderId="14" xfId="1" applyNumberFormat="1" applyFont="1" applyFill="1" applyBorder="1"/>
    <xf numFmtId="164" fontId="24" fillId="5" borderId="2" xfId="1" applyNumberFormat="1" applyFont="1" applyFill="1" applyBorder="1"/>
    <xf numFmtId="164" fontId="11" fillId="5" borderId="2" xfId="1" applyNumberFormat="1" applyFont="1" applyFill="1" applyBorder="1"/>
    <xf numFmtId="164" fontId="11" fillId="5" borderId="6" xfId="1" applyNumberFormat="1" applyFont="1" applyFill="1" applyBorder="1"/>
    <xf numFmtId="164" fontId="11" fillId="5" borderId="14" xfId="1" applyNumberFormat="1" applyFont="1" applyFill="1" applyBorder="1"/>
    <xf numFmtId="164" fontId="25" fillId="5" borderId="2" xfId="1" applyNumberFormat="1" applyFont="1" applyFill="1" applyBorder="1"/>
    <xf numFmtId="164" fontId="23" fillId="5" borderId="2" xfId="1" applyNumberFormat="1" applyFont="1" applyFill="1" applyBorder="1"/>
    <xf numFmtId="164" fontId="23" fillId="5" borderId="6" xfId="1" applyNumberFormat="1" applyFont="1" applyFill="1" applyBorder="1"/>
    <xf numFmtId="164" fontId="23" fillId="5" borderId="14" xfId="1" applyNumberFormat="1" applyFont="1" applyFill="1" applyBorder="1"/>
    <xf numFmtId="164" fontId="17" fillId="0" borderId="6" xfId="1" applyNumberFormat="1" applyFont="1" applyBorder="1"/>
    <xf numFmtId="164" fontId="17" fillId="0" borderId="14" xfId="1" applyNumberFormat="1" applyFont="1" applyBorder="1"/>
    <xf numFmtId="164" fontId="17" fillId="0" borderId="7" xfId="1" applyNumberFormat="1" applyFont="1" applyBorder="1"/>
    <xf numFmtId="0" fontId="20" fillId="6" borderId="2" xfId="1" applyFont="1" applyFill="1" applyBorder="1" applyAlignment="1">
      <alignment wrapText="1"/>
    </xf>
    <xf numFmtId="1" fontId="26" fillId="6" borderId="2" xfId="1" applyNumberFormat="1" applyFont="1" applyFill="1" applyBorder="1"/>
    <xf numFmtId="164" fontId="27" fillId="6" borderId="2" xfId="1" applyNumberFormat="1" applyFont="1" applyFill="1" applyBorder="1"/>
    <xf numFmtId="164" fontId="26" fillId="6" borderId="2" xfId="1" applyNumberFormat="1" applyFont="1" applyFill="1" applyBorder="1"/>
    <xf numFmtId="164" fontId="26" fillId="6" borderId="6" xfId="1" applyNumberFormat="1" applyFont="1" applyFill="1" applyBorder="1"/>
    <xf numFmtId="164" fontId="26" fillId="6" borderId="14" xfId="1" applyNumberFormat="1" applyFont="1" applyFill="1" applyBorder="1"/>
    <xf numFmtId="164" fontId="27" fillId="5" borderId="2" xfId="1" applyNumberFormat="1" applyFont="1" applyFill="1" applyBorder="1"/>
    <xf numFmtId="164" fontId="26" fillId="5" borderId="2" xfId="1" applyNumberFormat="1" applyFont="1" applyFill="1" applyBorder="1"/>
    <xf numFmtId="164" fontId="26" fillId="5" borderId="6" xfId="1" applyNumberFormat="1" applyFont="1" applyFill="1" applyBorder="1"/>
    <xf numFmtId="164" fontId="26" fillId="5" borderId="14" xfId="1" applyNumberFormat="1" applyFont="1" applyFill="1" applyBorder="1"/>
    <xf numFmtId="0" fontId="6" fillId="0" borderId="14" xfId="0" applyFont="1" applyBorder="1"/>
    <xf numFmtId="0" fontId="6" fillId="0" borderId="7" xfId="0" applyFont="1" applyBorder="1"/>
    <xf numFmtId="0" fontId="11" fillId="0" borderId="2" xfId="1" applyFont="1" applyBorder="1" applyAlignment="1">
      <alignment horizontal="center" vertical="center"/>
    </xf>
    <xf numFmtId="0" fontId="12" fillId="0" borderId="2" xfId="5" applyFont="1" applyBorder="1"/>
    <xf numFmtId="0" fontId="12" fillId="0" borderId="2" xfId="5" applyFont="1" applyBorder="1" applyAlignment="1">
      <alignment wrapText="1"/>
    </xf>
    <xf numFmtId="0" fontId="12" fillId="6" borderId="2" xfId="5" applyFont="1" applyFill="1" applyBorder="1" applyAlignment="1">
      <alignment wrapText="1"/>
    </xf>
    <xf numFmtId="164" fontId="28" fillId="6" borderId="2" xfId="5" applyNumberFormat="1" applyFont="1" applyFill="1" applyBorder="1" applyAlignment="1">
      <alignment horizontal="right" wrapText="1"/>
    </xf>
    <xf numFmtId="164" fontId="25" fillId="6" borderId="2" xfId="1" applyNumberFormat="1" applyFont="1" applyFill="1" applyBorder="1"/>
    <xf numFmtId="164" fontId="23" fillId="6" borderId="2" xfId="1" applyNumberFormat="1" applyFont="1" applyFill="1" applyBorder="1"/>
    <xf numFmtId="164" fontId="23" fillId="6" borderId="6" xfId="1" applyNumberFormat="1" applyFont="1" applyFill="1" applyBorder="1"/>
    <xf numFmtId="164" fontId="23" fillId="6" borderId="14" xfId="1" applyNumberFormat="1" applyFont="1" applyFill="1" applyBorder="1"/>
    <xf numFmtId="164" fontId="28" fillId="0" borderId="2" xfId="5" applyNumberFormat="1" applyFont="1" applyBorder="1" applyAlignment="1">
      <alignment horizontal="right" wrapText="1"/>
    </xf>
    <xf numFmtId="164" fontId="19" fillId="0" borderId="6" xfId="0" applyNumberFormat="1" applyFont="1" applyBorder="1"/>
    <xf numFmtId="164" fontId="19" fillId="0" borderId="14" xfId="0" applyNumberFormat="1" applyFont="1" applyBorder="1"/>
    <xf numFmtId="164" fontId="19" fillId="0" borderId="7" xfId="0" applyNumberFormat="1" applyFont="1" applyBorder="1"/>
    <xf numFmtId="0" fontId="5" fillId="0" borderId="2" xfId="1" applyFont="1" applyBorder="1" applyAlignment="1">
      <alignment horizontal="center"/>
    </xf>
    <xf numFmtId="164" fontId="29" fillId="0" borderId="2" xfId="1" applyNumberFormat="1" applyFont="1" applyBorder="1"/>
    <xf numFmtId="164" fontId="30" fillId="0" borderId="2" xfId="1" applyNumberFormat="1" applyFont="1" applyBorder="1"/>
    <xf numFmtId="164" fontId="29" fillId="0" borderId="6" xfId="1" applyNumberFormat="1" applyFont="1" applyBorder="1"/>
    <xf numFmtId="164" fontId="30" fillId="0" borderId="6" xfId="1" applyNumberFormat="1" applyFont="1" applyBorder="1"/>
    <xf numFmtId="164" fontId="30" fillId="0" borderId="14" xfId="1" applyNumberFormat="1" applyFont="1" applyBorder="1"/>
    <xf numFmtId="0" fontId="15" fillId="0" borderId="2" xfId="1" applyFont="1" applyBorder="1"/>
    <xf numFmtId="164" fontId="6" fillId="0" borderId="6" xfId="1" applyNumberFormat="1" applyFont="1" applyBorder="1"/>
    <xf numFmtId="164" fontId="4" fillId="0" borderId="6" xfId="1" applyNumberFormat="1" applyFont="1" applyBorder="1"/>
    <xf numFmtId="164" fontId="4" fillId="0" borderId="14" xfId="1" applyNumberFormat="1" applyFont="1" applyBorder="1"/>
    <xf numFmtId="164" fontId="4" fillId="0" borderId="7" xfId="1" applyNumberFormat="1" applyFont="1" applyBorder="1"/>
    <xf numFmtId="164" fontId="4" fillId="2" borderId="6" xfId="1" applyNumberFormat="1" applyFont="1" applyFill="1" applyBorder="1"/>
    <xf numFmtId="0" fontId="10" fillId="0" borderId="2" xfId="1" applyFont="1" applyBorder="1" applyAlignment="1">
      <alignment wrapText="1"/>
    </xf>
    <xf numFmtId="164" fontId="6" fillId="0" borderId="6" xfId="0" applyNumberFormat="1" applyFont="1" applyBorder="1"/>
    <xf numFmtId="164" fontId="6" fillId="0" borderId="14" xfId="0" applyNumberFormat="1" applyFont="1" applyBorder="1"/>
    <xf numFmtId="164" fontId="6" fillId="0" borderId="7" xfId="0" applyNumberFormat="1" applyFont="1" applyBorder="1"/>
    <xf numFmtId="0" fontId="32" fillId="0" borderId="2" xfId="1" applyFont="1" applyBorder="1" applyAlignment="1">
      <alignment horizontal="center"/>
    </xf>
    <xf numFmtId="164" fontId="19" fillId="3" borderId="15" xfId="0" applyNumberFormat="1" applyFont="1" applyFill="1" applyBorder="1"/>
    <xf numFmtId="164" fontId="25" fillId="0" borderId="6" xfId="1" applyNumberFormat="1" applyFont="1" applyBorder="1"/>
    <xf numFmtId="0" fontId="4" fillId="0" borderId="7" xfId="1" applyFont="1" applyBorder="1" applyAlignment="1">
      <alignment horizontal="center" wrapText="1"/>
    </xf>
    <xf numFmtId="164" fontId="21" fillId="6" borderId="7" xfId="1" applyNumberFormat="1" applyFont="1" applyFill="1" applyBorder="1"/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/>
    </xf>
    <xf numFmtId="164" fontId="11" fillId="6" borderId="7" xfId="1" applyNumberFormat="1" applyFont="1" applyFill="1" applyBorder="1"/>
    <xf numFmtId="0" fontId="20" fillId="5" borderId="2" xfId="1" applyFont="1" applyFill="1" applyBorder="1"/>
    <xf numFmtId="1" fontId="10" fillId="5" borderId="2" xfId="1" applyNumberFormat="1" applyFont="1" applyFill="1" applyBorder="1"/>
    <xf numFmtId="0" fontId="23" fillId="5" borderId="2" xfId="1" applyFont="1" applyFill="1" applyBorder="1" applyAlignment="1">
      <alignment horizontal="left" vertical="center"/>
    </xf>
    <xf numFmtId="1" fontId="23" fillId="5" borderId="2" xfId="1" applyNumberFormat="1" applyFont="1" applyFill="1" applyBorder="1"/>
    <xf numFmtId="0" fontId="4" fillId="5" borderId="2" xfId="1" applyFont="1" applyFill="1" applyBorder="1" applyAlignment="1">
      <alignment wrapText="1"/>
    </xf>
    <xf numFmtId="0" fontId="20" fillId="5" borderId="2" xfId="1" applyFont="1" applyFill="1" applyBorder="1" applyAlignment="1">
      <alignment wrapText="1"/>
    </xf>
    <xf numFmtId="1" fontId="26" fillId="5" borderId="2" xfId="1" applyNumberFormat="1" applyFont="1" applyFill="1" applyBorder="1"/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164" fontId="4" fillId="5" borderId="2" xfId="0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horizontal="left" vertical="center" wrapText="1"/>
    </xf>
    <xf numFmtId="164" fontId="4" fillId="5" borderId="6" xfId="0" applyNumberFormat="1" applyFont="1" applyFill="1" applyBorder="1" applyAlignment="1">
      <alignment vertical="center"/>
    </xf>
    <xf numFmtId="165" fontId="3" fillId="0" borderId="0" xfId="0" applyNumberFormat="1" applyFont="1"/>
    <xf numFmtId="0" fontId="9" fillId="3" borderId="0" xfId="0" applyFont="1" applyFill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/>
    </xf>
    <xf numFmtId="164" fontId="4" fillId="3" borderId="0" xfId="0" applyNumberFormat="1" applyFont="1" applyFill="1" applyAlignment="1">
      <alignment horizontal="right"/>
    </xf>
    <xf numFmtId="164" fontId="36" fillId="3" borderId="0" xfId="0" applyNumberFormat="1" applyFont="1" applyFill="1"/>
    <xf numFmtId="165" fontId="9" fillId="3" borderId="0" xfId="0" applyNumberFormat="1" applyFont="1" applyFill="1"/>
    <xf numFmtId="164" fontId="4" fillId="0" borderId="6" xfId="0" applyNumberFormat="1" applyFont="1" applyBorder="1" applyAlignment="1">
      <alignment vertical="center"/>
    </xf>
    <xf numFmtId="0" fontId="47" fillId="0" borderId="0" xfId="0" applyFont="1"/>
    <xf numFmtId="0" fontId="11" fillId="0" borderId="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4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" xfId="5" applyFont="1" applyBorder="1" applyAlignment="1">
      <alignment horizontal="center" vertical="center" textRotation="90" wrapText="1"/>
    </xf>
    <xf numFmtId="0" fontId="5" fillId="0" borderId="4" xfId="5" applyFont="1" applyBorder="1" applyAlignment="1">
      <alignment horizontal="center" vertical="center" textRotation="90" wrapText="1"/>
    </xf>
    <xf numFmtId="0" fontId="5" fillId="0" borderId="5" xfId="5" applyFont="1" applyBorder="1" applyAlignment="1">
      <alignment horizontal="center" vertical="center" textRotation="90" wrapText="1"/>
    </xf>
    <xf numFmtId="0" fontId="5" fillId="0" borderId="3" xfId="5" applyFont="1" applyBorder="1" applyAlignment="1">
      <alignment horizontal="center" vertical="center" textRotation="90" wrapText="1" shrinkToFit="1"/>
    </xf>
    <xf numFmtId="0" fontId="5" fillId="0" borderId="4" xfId="5" applyFont="1" applyBorder="1" applyAlignment="1">
      <alignment horizontal="center" vertical="center" textRotation="90" wrapText="1" shrinkToFit="1"/>
    </xf>
    <xf numFmtId="0" fontId="5" fillId="0" borderId="5" xfId="5" applyFont="1" applyBorder="1" applyAlignment="1">
      <alignment horizontal="center" vertical="center" textRotation="90" wrapText="1" shrinkToFit="1"/>
    </xf>
    <xf numFmtId="0" fontId="5" fillId="0" borderId="6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3" borderId="6" xfId="5" applyFont="1" applyFill="1" applyBorder="1" applyAlignment="1">
      <alignment horizontal="center" vertical="center" wrapText="1"/>
    </xf>
    <xf numFmtId="0" fontId="5" fillId="3" borderId="8" xfId="5" applyFont="1" applyFill="1" applyBorder="1" applyAlignment="1">
      <alignment horizontal="center" vertical="center" wrapText="1"/>
    </xf>
    <xf numFmtId="0" fontId="5" fillId="3" borderId="7" xfId="5" applyFont="1" applyFill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textRotation="90" wrapText="1"/>
    </xf>
    <xf numFmtId="0" fontId="5" fillId="0" borderId="7" xfId="5" applyFont="1" applyBorder="1" applyAlignment="1">
      <alignment horizontal="center" vertical="center" textRotation="90" wrapText="1"/>
    </xf>
    <xf numFmtId="0" fontId="39" fillId="0" borderId="6" xfId="5" applyFont="1" applyBorder="1" applyAlignment="1">
      <alignment horizontal="center" vertical="center" textRotation="90" wrapText="1"/>
    </xf>
    <xf numFmtId="0" fontId="39" fillId="0" borderId="7" xfId="5" applyFont="1" applyBorder="1" applyAlignment="1">
      <alignment horizontal="center" vertical="center" textRotation="90" wrapText="1"/>
    </xf>
    <xf numFmtId="0" fontId="5" fillId="0" borderId="2" xfId="5" applyFont="1" applyBorder="1" applyAlignment="1">
      <alignment horizontal="center" vertical="center" textRotation="90" wrapText="1"/>
    </xf>
    <xf numFmtId="0" fontId="5" fillId="0" borderId="2" xfId="5" applyFont="1" applyBorder="1" applyAlignment="1">
      <alignment horizontal="center" vertical="center" textRotation="90" wrapText="1" shrinkToFit="1"/>
    </xf>
    <xf numFmtId="0" fontId="5" fillId="0" borderId="9" xfId="5" applyFont="1" applyBorder="1" applyAlignment="1">
      <alignment horizontal="center" vertical="center" textRotation="90" wrapText="1"/>
    </xf>
    <xf numFmtId="0" fontId="5" fillId="0" borderId="10" xfId="5" applyFont="1" applyBorder="1" applyAlignment="1">
      <alignment horizontal="center" vertical="center" textRotation="90" wrapText="1"/>
    </xf>
    <xf numFmtId="0" fontId="5" fillId="0" borderId="11" xfId="5" applyFont="1" applyBorder="1" applyAlignment="1">
      <alignment horizontal="center" vertical="center" textRotation="90" wrapText="1"/>
    </xf>
    <xf numFmtId="0" fontId="5" fillId="0" borderId="12" xfId="5" applyFont="1" applyBorder="1" applyAlignment="1">
      <alignment horizontal="center" vertical="center" textRotation="90" wrapText="1"/>
    </xf>
    <xf numFmtId="0" fontId="4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0" fontId="19" fillId="4" borderId="6" xfId="0" applyFont="1" applyFill="1" applyBorder="1" applyAlignment="1">
      <alignment horizontal="left"/>
    </xf>
    <xf numFmtId="0" fontId="19" fillId="4" borderId="8" xfId="0" applyFont="1" applyFill="1" applyBorder="1" applyAlignment="1">
      <alignment horizontal="left"/>
    </xf>
    <xf numFmtId="0" fontId="19" fillId="4" borderId="7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</cellXfs>
  <cellStyles count="8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2 2" xfId="5" xr:uid="{00000000-0005-0000-0000-000003000000}"/>
    <cellStyle name="Обычный 3" xfId="1" xr:uid="{00000000-0005-0000-0000-000004000000}"/>
    <cellStyle name="Процентный" xfId="7" builtinId="5"/>
    <cellStyle name="Процентный 2" xfId="4" xr:uid="{00000000-0005-0000-0000-000005000000}"/>
    <cellStyle name="Финансовый" xfId="6" builtinId="3"/>
  </cellStyles>
  <dxfs count="0"/>
  <tableStyles count="0" defaultTableStyle="TableStyleMedium2" defaultPivotStyle="PivotStyleLight16"/>
  <colors>
    <mruColors>
      <color rgb="FFCAFF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6B42F-6897-4019-BEE2-DA8F691C9EEE}">
  <sheetPr>
    <tabColor rgb="FF92D050"/>
    <pageSetUpPr fitToPage="1"/>
  </sheetPr>
  <dimension ref="A1:T76"/>
  <sheetViews>
    <sheetView tabSelected="1" topLeftCell="A58" zoomScaleNormal="100" zoomScaleSheetLayoutView="100" workbookViewId="0">
      <selection activeCell="C70" sqref="C70"/>
    </sheetView>
  </sheetViews>
  <sheetFormatPr defaultColWidth="9.140625" defaultRowHeight="12.75"/>
  <cols>
    <col min="1" max="1" width="4.28515625" style="15" customWidth="1"/>
    <col min="2" max="2" width="8.85546875" style="15" customWidth="1"/>
    <col min="3" max="3" width="60.5703125" style="15" customWidth="1"/>
    <col min="4" max="4" width="5.85546875" style="15" customWidth="1"/>
    <col min="5" max="5" width="12.140625" style="15" customWidth="1"/>
    <col min="6" max="6" width="11.5703125" style="15" customWidth="1"/>
    <col min="7" max="7" width="10.28515625" style="15" bestFit="1" customWidth="1"/>
    <col min="8" max="8" width="12.140625" style="15" customWidth="1"/>
    <col min="9" max="9" width="10.7109375" style="15" customWidth="1"/>
    <col min="10" max="10" width="11.5703125" style="15" customWidth="1"/>
    <col min="11" max="11" width="11.7109375" style="15" customWidth="1"/>
    <col min="12" max="12" width="11.140625" style="15" customWidth="1"/>
    <col min="13" max="13" width="9.140625" style="15"/>
    <col min="14" max="14" width="10.42578125" style="15" bestFit="1" customWidth="1"/>
    <col min="15" max="254" width="9.140625" style="15"/>
    <col min="255" max="255" width="4.28515625" style="15" customWidth="1"/>
    <col min="256" max="256" width="8.85546875" style="15" customWidth="1"/>
    <col min="257" max="257" width="60.5703125" style="15" customWidth="1"/>
    <col min="258" max="258" width="5.85546875" style="15" customWidth="1"/>
    <col min="259" max="259" width="12.140625" style="15" customWidth="1"/>
    <col min="260" max="260" width="11.5703125" style="15" customWidth="1"/>
    <col min="261" max="261" width="10.28515625" style="15" bestFit="1" customWidth="1"/>
    <col min="262" max="262" width="12.140625" style="15" customWidth="1"/>
    <col min="263" max="263" width="10.7109375" style="15" customWidth="1"/>
    <col min="264" max="266" width="10.28515625" style="15" customWidth="1"/>
    <col min="267" max="267" width="9.5703125" style="15" customWidth="1"/>
    <col min="268" max="268" width="10.42578125" style="15" customWidth="1"/>
    <col min="269" max="269" width="9.140625" style="15"/>
    <col min="270" max="270" width="10.42578125" style="15" bestFit="1" customWidth="1"/>
    <col min="271" max="510" width="9.140625" style="15"/>
    <col min="511" max="511" width="4.28515625" style="15" customWidth="1"/>
    <col min="512" max="512" width="8.85546875" style="15" customWidth="1"/>
    <col min="513" max="513" width="60.5703125" style="15" customWidth="1"/>
    <col min="514" max="514" width="5.85546875" style="15" customWidth="1"/>
    <col min="515" max="515" width="12.140625" style="15" customWidth="1"/>
    <col min="516" max="516" width="11.5703125" style="15" customWidth="1"/>
    <col min="517" max="517" width="10.28515625" style="15" bestFit="1" customWidth="1"/>
    <col min="518" max="518" width="12.140625" style="15" customWidth="1"/>
    <col min="519" max="519" width="10.7109375" style="15" customWidth="1"/>
    <col min="520" max="522" width="10.28515625" style="15" customWidth="1"/>
    <col min="523" max="523" width="9.5703125" style="15" customWidth="1"/>
    <col min="524" max="524" width="10.42578125" style="15" customWidth="1"/>
    <col min="525" max="525" width="9.140625" style="15"/>
    <col min="526" max="526" width="10.42578125" style="15" bestFit="1" customWidth="1"/>
    <col min="527" max="766" width="9.140625" style="15"/>
    <col min="767" max="767" width="4.28515625" style="15" customWidth="1"/>
    <col min="768" max="768" width="8.85546875" style="15" customWidth="1"/>
    <col min="769" max="769" width="60.5703125" style="15" customWidth="1"/>
    <col min="770" max="770" width="5.85546875" style="15" customWidth="1"/>
    <col min="771" max="771" width="12.140625" style="15" customWidth="1"/>
    <col min="772" max="772" width="11.5703125" style="15" customWidth="1"/>
    <col min="773" max="773" width="10.28515625" style="15" bestFit="1" customWidth="1"/>
    <col min="774" max="774" width="12.140625" style="15" customWidth="1"/>
    <col min="775" max="775" width="10.7109375" style="15" customWidth="1"/>
    <col min="776" max="778" width="10.28515625" style="15" customWidth="1"/>
    <col min="779" max="779" width="9.5703125" style="15" customWidth="1"/>
    <col min="780" max="780" width="10.42578125" style="15" customWidth="1"/>
    <col min="781" max="781" width="9.140625" style="15"/>
    <col min="782" max="782" width="10.42578125" style="15" bestFit="1" customWidth="1"/>
    <col min="783" max="1022" width="9.140625" style="15"/>
    <col min="1023" max="1023" width="4.28515625" style="15" customWidth="1"/>
    <col min="1024" max="1024" width="8.85546875" style="15" customWidth="1"/>
    <col min="1025" max="1025" width="60.5703125" style="15" customWidth="1"/>
    <col min="1026" max="1026" width="5.85546875" style="15" customWidth="1"/>
    <col min="1027" max="1027" width="12.140625" style="15" customWidth="1"/>
    <col min="1028" max="1028" width="11.5703125" style="15" customWidth="1"/>
    <col min="1029" max="1029" width="10.28515625" style="15" bestFit="1" customWidth="1"/>
    <col min="1030" max="1030" width="12.140625" style="15" customWidth="1"/>
    <col min="1031" max="1031" width="10.7109375" style="15" customWidth="1"/>
    <col min="1032" max="1034" width="10.28515625" style="15" customWidth="1"/>
    <col min="1035" max="1035" width="9.5703125" style="15" customWidth="1"/>
    <col min="1036" max="1036" width="10.42578125" style="15" customWidth="1"/>
    <col min="1037" max="1037" width="9.140625" style="15"/>
    <col min="1038" max="1038" width="10.42578125" style="15" bestFit="1" customWidth="1"/>
    <col min="1039" max="1278" width="9.140625" style="15"/>
    <col min="1279" max="1279" width="4.28515625" style="15" customWidth="1"/>
    <col min="1280" max="1280" width="8.85546875" style="15" customWidth="1"/>
    <col min="1281" max="1281" width="60.5703125" style="15" customWidth="1"/>
    <col min="1282" max="1282" width="5.85546875" style="15" customWidth="1"/>
    <col min="1283" max="1283" width="12.140625" style="15" customWidth="1"/>
    <col min="1284" max="1284" width="11.5703125" style="15" customWidth="1"/>
    <col min="1285" max="1285" width="10.28515625" style="15" bestFit="1" customWidth="1"/>
    <col min="1286" max="1286" width="12.140625" style="15" customWidth="1"/>
    <col min="1287" max="1287" width="10.7109375" style="15" customWidth="1"/>
    <col min="1288" max="1290" width="10.28515625" style="15" customWidth="1"/>
    <col min="1291" max="1291" width="9.5703125" style="15" customWidth="1"/>
    <col min="1292" max="1292" width="10.42578125" style="15" customWidth="1"/>
    <col min="1293" max="1293" width="9.140625" style="15"/>
    <col min="1294" max="1294" width="10.42578125" style="15" bestFit="1" customWidth="1"/>
    <col min="1295" max="1534" width="9.140625" style="15"/>
    <col min="1535" max="1535" width="4.28515625" style="15" customWidth="1"/>
    <col min="1536" max="1536" width="8.85546875" style="15" customWidth="1"/>
    <col min="1537" max="1537" width="60.5703125" style="15" customWidth="1"/>
    <col min="1538" max="1538" width="5.85546875" style="15" customWidth="1"/>
    <col min="1539" max="1539" width="12.140625" style="15" customWidth="1"/>
    <col min="1540" max="1540" width="11.5703125" style="15" customWidth="1"/>
    <col min="1541" max="1541" width="10.28515625" style="15" bestFit="1" customWidth="1"/>
    <col min="1542" max="1542" width="12.140625" style="15" customWidth="1"/>
    <col min="1543" max="1543" width="10.7109375" style="15" customWidth="1"/>
    <col min="1544" max="1546" width="10.28515625" style="15" customWidth="1"/>
    <col min="1547" max="1547" width="9.5703125" style="15" customWidth="1"/>
    <col min="1548" max="1548" width="10.42578125" style="15" customWidth="1"/>
    <col min="1549" max="1549" width="9.140625" style="15"/>
    <col min="1550" max="1550" width="10.42578125" style="15" bestFit="1" customWidth="1"/>
    <col min="1551" max="1790" width="9.140625" style="15"/>
    <col min="1791" max="1791" width="4.28515625" style="15" customWidth="1"/>
    <col min="1792" max="1792" width="8.85546875" style="15" customWidth="1"/>
    <col min="1793" max="1793" width="60.5703125" style="15" customWidth="1"/>
    <col min="1794" max="1794" width="5.85546875" style="15" customWidth="1"/>
    <col min="1795" max="1795" width="12.140625" style="15" customWidth="1"/>
    <col min="1796" max="1796" width="11.5703125" style="15" customWidth="1"/>
    <col min="1797" max="1797" width="10.28515625" style="15" bestFit="1" customWidth="1"/>
    <col min="1798" max="1798" width="12.140625" style="15" customWidth="1"/>
    <col min="1799" max="1799" width="10.7109375" style="15" customWidth="1"/>
    <col min="1800" max="1802" width="10.28515625" style="15" customWidth="1"/>
    <col min="1803" max="1803" width="9.5703125" style="15" customWidth="1"/>
    <col min="1804" max="1804" width="10.42578125" style="15" customWidth="1"/>
    <col min="1805" max="1805" width="9.140625" style="15"/>
    <col min="1806" max="1806" width="10.42578125" style="15" bestFit="1" customWidth="1"/>
    <col min="1807" max="2046" width="9.140625" style="15"/>
    <col min="2047" max="2047" width="4.28515625" style="15" customWidth="1"/>
    <col min="2048" max="2048" width="8.85546875" style="15" customWidth="1"/>
    <col min="2049" max="2049" width="60.5703125" style="15" customWidth="1"/>
    <col min="2050" max="2050" width="5.85546875" style="15" customWidth="1"/>
    <col min="2051" max="2051" width="12.140625" style="15" customWidth="1"/>
    <col min="2052" max="2052" width="11.5703125" style="15" customWidth="1"/>
    <col min="2053" max="2053" width="10.28515625" style="15" bestFit="1" customWidth="1"/>
    <col min="2054" max="2054" width="12.140625" style="15" customWidth="1"/>
    <col min="2055" max="2055" width="10.7109375" style="15" customWidth="1"/>
    <col min="2056" max="2058" width="10.28515625" style="15" customWidth="1"/>
    <col min="2059" max="2059" width="9.5703125" style="15" customWidth="1"/>
    <col min="2060" max="2060" width="10.42578125" style="15" customWidth="1"/>
    <col min="2061" max="2061" width="9.140625" style="15"/>
    <col min="2062" max="2062" width="10.42578125" style="15" bestFit="1" customWidth="1"/>
    <col min="2063" max="2302" width="9.140625" style="15"/>
    <col min="2303" max="2303" width="4.28515625" style="15" customWidth="1"/>
    <col min="2304" max="2304" width="8.85546875" style="15" customWidth="1"/>
    <col min="2305" max="2305" width="60.5703125" style="15" customWidth="1"/>
    <col min="2306" max="2306" width="5.85546875" style="15" customWidth="1"/>
    <col min="2307" max="2307" width="12.140625" style="15" customWidth="1"/>
    <col min="2308" max="2308" width="11.5703125" style="15" customWidth="1"/>
    <col min="2309" max="2309" width="10.28515625" style="15" bestFit="1" customWidth="1"/>
    <col min="2310" max="2310" width="12.140625" style="15" customWidth="1"/>
    <col min="2311" max="2311" width="10.7109375" style="15" customWidth="1"/>
    <col min="2312" max="2314" width="10.28515625" style="15" customWidth="1"/>
    <col min="2315" max="2315" width="9.5703125" style="15" customWidth="1"/>
    <col min="2316" max="2316" width="10.42578125" style="15" customWidth="1"/>
    <col min="2317" max="2317" width="9.140625" style="15"/>
    <col min="2318" max="2318" width="10.42578125" style="15" bestFit="1" customWidth="1"/>
    <col min="2319" max="2558" width="9.140625" style="15"/>
    <col min="2559" max="2559" width="4.28515625" style="15" customWidth="1"/>
    <col min="2560" max="2560" width="8.85546875" style="15" customWidth="1"/>
    <col min="2561" max="2561" width="60.5703125" style="15" customWidth="1"/>
    <col min="2562" max="2562" width="5.85546875" style="15" customWidth="1"/>
    <col min="2563" max="2563" width="12.140625" style="15" customWidth="1"/>
    <col min="2564" max="2564" width="11.5703125" style="15" customWidth="1"/>
    <col min="2565" max="2565" width="10.28515625" style="15" bestFit="1" customWidth="1"/>
    <col min="2566" max="2566" width="12.140625" style="15" customWidth="1"/>
    <col min="2567" max="2567" width="10.7109375" style="15" customWidth="1"/>
    <col min="2568" max="2570" width="10.28515625" style="15" customWidth="1"/>
    <col min="2571" max="2571" width="9.5703125" style="15" customWidth="1"/>
    <col min="2572" max="2572" width="10.42578125" style="15" customWidth="1"/>
    <col min="2573" max="2573" width="9.140625" style="15"/>
    <col min="2574" max="2574" width="10.42578125" style="15" bestFit="1" customWidth="1"/>
    <col min="2575" max="2814" width="9.140625" style="15"/>
    <col min="2815" max="2815" width="4.28515625" style="15" customWidth="1"/>
    <col min="2816" max="2816" width="8.85546875" style="15" customWidth="1"/>
    <col min="2817" max="2817" width="60.5703125" style="15" customWidth="1"/>
    <col min="2818" max="2818" width="5.85546875" style="15" customWidth="1"/>
    <col min="2819" max="2819" width="12.140625" style="15" customWidth="1"/>
    <col min="2820" max="2820" width="11.5703125" style="15" customWidth="1"/>
    <col min="2821" max="2821" width="10.28515625" style="15" bestFit="1" customWidth="1"/>
    <col min="2822" max="2822" width="12.140625" style="15" customWidth="1"/>
    <col min="2823" max="2823" width="10.7109375" style="15" customWidth="1"/>
    <col min="2824" max="2826" width="10.28515625" style="15" customWidth="1"/>
    <col min="2827" max="2827" width="9.5703125" style="15" customWidth="1"/>
    <col min="2828" max="2828" width="10.42578125" style="15" customWidth="1"/>
    <col min="2829" max="2829" width="9.140625" style="15"/>
    <col min="2830" max="2830" width="10.42578125" style="15" bestFit="1" customWidth="1"/>
    <col min="2831" max="3070" width="9.140625" style="15"/>
    <col min="3071" max="3071" width="4.28515625" style="15" customWidth="1"/>
    <col min="3072" max="3072" width="8.85546875" style="15" customWidth="1"/>
    <col min="3073" max="3073" width="60.5703125" style="15" customWidth="1"/>
    <col min="3074" max="3074" width="5.85546875" style="15" customWidth="1"/>
    <col min="3075" max="3075" width="12.140625" style="15" customWidth="1"/>
    <col min="3076" max="3076" width="11.5703125" style="15" customWidth="1"/>
    <col min="3077" max="3077" width="10.28515625" style="15" bestFit="1" customWidth="1"/>
    <col min="3078" max="3078" width="12.140625" style="15" customWidth="1"/>
    <col min="3079" max="3079" width="10.7109375" style="15" customWidth="1"/>
    <col min="3080" max="3082" width="10.28515625" style="15" customWidth="1"/>
    <col min="3083" max="3083" width="9.5703125" style="15" customWidth="1"/>
    <col min="3084" max="3084" width="10.42578125" style="15" customWidth="1"/>
    <col min="3085" max="3085" width="9.140625" style="15"/>
    <col min="3086" max="3086" width="10.42578125" style="15" bestFit="1" customWidth="1"/>
    <col min="3087" max="3326" width="9.140625" style="15"/>
    <col min="3327" max="3327" width="4.28515625" style="15" customWidth="1"/>
    <col min="3328" max="3328" width="8.85546875" style="15" customWidth="1"/>
    <col min="3329" max="3329" width="60.5703125" style="15" customWidth="1"/>
    <col min="3330" max="3330" width="5.85546875" style="15" customWidth="1"/>
    <col min="3331" max="3331" width="12.140625" style="15" customWidth="1"/>
    <col min="3332" max="3332" width="11.5703125" style="15" customWidth="1"/>
    <col min="3333" max="3333" width="10.28515625" style="15" bestFit="1" customWidth="1"/>
    <col min="3334" max="3334" width="12.140625" style="15" customWidth="1"/>
    <col min="3335" max="3335" width="10.7109375" style="15" customWidth="1"/>
    <col min="3336" max="3338" width="10.28515625" style="15" customWidth="1"/>
    <col min="3339" max="3339" width="9.5703125" style="15" customWidth="1"/>
    <col min="3340" max="3340" width="10.42578125" style="15" customWidth="1"/>
    <col min="3341" max="3341" width="9.140625" style="15"/>
    <col min="3342" max="3342" width="10.42578125" style="15" bestFit="1" customWidth="1"/>
    <col min="3343" max="3582" width="9.140625" style="15"/>
    <col min="3583" max="3583" width="4.28515625" style="15" customWidth="1"/>
    <col min="3584" max="3584" width="8.85546875" style="15" customWidth="1"/>
    <col min="3585" max="3585" width="60.5703125" style="15" customWidth="1"/>
    <col min="3586" max="3586" width="5.85546875" style="15" customWidth="1"/>
    <col min="3587" max="3587" width="12.140625" style="15" customWidth="1"/>
    <col min="3588" max="3588" width="11.5703125" style="15" customWidth="1"/>
    <col min="3589" max="3589" width="10.28515625" style="15" bestFit="1" customWidth="1"/>
    <col min="3590" max="3590" width="12.140625" style="15" customWidth="1"/>
    <col min="3591" max="3591" width="10.7109375" style="15" customWidth="1"/>
    <col min="3592" max="3594" width="10.28515625" style="15" customWidth="1"/>
    <col min="3595" max="3595" width="9.5703125" style="15" customWidth="1"/>
    <col min="3596" max="3596" width="10.42578125" style="15" customWidth="1"/>
    <col min="3597" max="3597" width="9.140625" style="15"/>
    <col min="3598" max="3598" width="10.42578125" style="15" bestFit="1" customWidth="1"/>
    <col min="3599" max="3838" width="9.140625" style="15"/>
    <col min="3839" max="3839" width="4.28515625" style="15" customWidth="1"/>
    <col min="3840" max="3840" width="8.85546875" style="15" customWidth="1"/>
    <col min="3841" max="3841" width="60.5703125" style="15" customWidth="1"/>
    <col min="3842" max="3842" width="5.85546875" style="15" customWidth="1"/>
    <col min="3843" max="3843" width="12.140625" style="15" customWidth="1"/>
    <col min="3844" max="3844" width="11.5703125" style="15" customWidth="1"/>
    <col min="3845" max="3845" width="10.28515625" style="15" bestFit="1" customWidth="1"/>
    <col min="3846" max="3846" width="12.140625" style="15" customWidth="1"/>
    <col min="3847" max="3847" width="10.7109375" style="15" customWidth="1"/>
    <col min="3848" max="3850" width="10.28515625" style="15" customWidth="1"/>
    <col min="3851" max="3851" width="9.5703125" style="15" customWidth="1"/>
    <col min="3852" max="3852" width="10.42578125" style="15" customWidth="1"/>
    <col min="3853" max="3853" width="9.140625" style="15"/>
    <col min="3854" max="3854" width="10.42578125" style="15" bestFit="1" customWidth="1"/>
    <col min="3855" max="4094" width="9.140625" style="15"/>
    <col min="4095" max="4095" width="4.28515625" style="15" customWidth="1"/>
    <col min="4096" max="4096" width="8.85546875" style="15" customWidth="1"/>
    <col min="4097" max="4097" width="60.5703125" style="15" customWidth="1"/>
    <col min="4098" max="4098" width="5.85546875" style="15" customWidth="1"/>
    <col min="4099" max="4099" width="12.140625" style="15" customWidth="1"/>
    <col min="4100" max="4100" width="11.5703125" style="15" customWidth="1"/>
    <col min="4101" max="4101" width="10.28515625" style="15" bestFit="1" customWidth="1"/>
    <col min="4102" max="4102" width="12.140625" style="15" customWidth="1"/>
    <col min="4103" max="4103" width="10.7109375" style="15" customWidth="1"/>
    <col min="4104" max="4106" width="10.28515625" style="15" customWidth="1"/>
    <col min="4107" max="4107" width="9.5703125" style="15" customWidth="1"/>
    <col min="4108" max="4108" width="10.42578125" style="15" customWidth="1"/>
    <col min="4109" max="4109" width="9.140625" style="15"/>
    <col min="4110" max="4110" width="10.42578125" style="15" bestFit="1" customWidth="1"/>
    <col min="4111" max="4350" width="9.140625" style="15"/>
    <col min="4351" max="4351" width="4.28515625" style="15" customWidth="1"/>
    <col min="4352" max="4352" width="8.85546875" style="15" customWidth="1"/>
    <col min="4353" max="4353" width="60.5703125" style="15" customWidth="1"/>
    <col min="4354" max="4354" width="5.85546875" style="15" customWidth="1"/>
    <col min="4355" max="4355" width="12.140625" style="15" customWidth="1"/>
    <col min="4356" max="4356" width="11.5703125" style="15" customWidth="1"/>
    <col min="4357" max="4357" width="10.28515625" style="15" bestFit="1" customWidth="1"/>
    <col min="4358" max="4358" width="12.140625" style="15" customWidth="1"/>
    <col min="4359" max="4359" width="10.7109375" style="15" customWidth="1"/>
    <col min="4360" max="4362" width="10.28515625" style="15" customWidth="1"/>
    <col min="4363" max="4363" width="9.5703125" style="15" customWidth="1"/>
    <col min="4364" max="4364" width="10.42578125" style="15" customWidth="1"/>
    <col min="4365" max="4365" width="9.140625" style="15"/>
    <col min="4366" max="4366" width="10.42578125" style="15" bestFit="1" customWidth="1"/>
    <col min="4367" max="4606" width="9.140625" style="15"/>
    <col min="4607" max="4607" width="4.28515625" style="15" customWidth="1"/>
    <col min="4608" max="4608" width="8.85546875" style="15" customWidth="1"/>
    <col min="4609" max="4609" width="60.5703125" style="15" customWidth="1"/>
    <col min="4610" max="4610" width="5.85546875" style="15" customWidth="1"/>
    <col min="4611" max="4611" width="12.140625" style="15" customWidth="1"/>
    <col min="4612" max="4612" width="11.5703125" style="15" customWidth="1"/>
    <col min="4613" max="4613" width="10.28515625" style="15" bestFit="1" customWidth="1"/>
    <col min="4614" max="4614" width="12.140625" style="15" customWidth="1"/>
    <col min="4615" max="4615" width="10.7109375" style="15" customWidth="1"/>
    <col min="4616" max="4618" width="10.28515625" style="15" customWidth="1"/>
    <col min="4619" max="4619" width="9.5703125" style="15" customWidth="1"/>
    <col min="4620" max="4620" width="10.42578125" style="15" customWidth="1"/>
    <col min="4621" max="4621" width="9.140625" style="15"/>
    <col min="4622" max="4622" width="10.42578125" style="15" bestFit="1" customWidth="1"/>
    <col min="4623" max="4862" width="9.140625" style="15"/>
    <col min="4863" max="4863" width="4.28515625" style="15" customWidth="1"/>
    <col min="4864" max="4864" width="8.85546875" style="15" customWidth="1"/>
    <col min="4865" max="4865" width="60.5703125" style="15" customWidth="1"/>
    <col min="4866" max="4866" width="5.85546875" style="15" customWidth="1"/>
    <col min="4867" max="4867" width="12.140625" style="15" customWidth="1"/>
    <col min="4868" max="4868" width="11.5703125" style="15" customWidth="1"/>
    <col min="4869" max="4869" width="10.28515625" style="15" bestFit="1" customWidth="1"/>
    <col min="4870" max="4870" width="12.140625" style="15" customWidth="1"/>
    <col min="4871" max="4871" width="10.7109375" style="15" customWidth="1"/>
    <col min="4872" max="4874" width="10.28515625" style="15" customWidth="1"/>
    <col min="4875" max="4875" width="9.5703125" style="15" customWidth="1"/>
    <col min="4876" max="4876" width="10.42578125" style="15" customWidth="1"/>
    <col min="4877" max="4877" width="9.140625" style="15"/>
    <col min="4878" max="4878" width="10.42578125" style="15" bestFit="1" customWidth="1"/>
    <col min="4879" max="5118" width="9.140625" style="15"/>
    <col min="5119" max="5119" width="4.28515625" style="15" customWidth="1"/>
    <col min="5120" max="5120" width="8.85546875" style="15" customWidth="1"/>
    <col min="5121" max="5121" width="60.5703125" style="15" customWidth="1"/>
    <col min="5122" max="5122" width="5.85546875" style="15" customWidth="1"/>
    <col min="5123" max="5123" width="12.140625" style="15" customWidth="1"/>
    <col min="5124" max="5124" width="11.5703125" style="15" customWidth="1"/>
    <col min="5125" max="5125" width="10.28515625" style="15" bestFit="1" customWidth="1"/>
    <col min="5126" max="5126" width="12.140625" style="15" customWidth="1"/>
    <col min="5127" max="5127" width="10.7109375" style="15" customWidth="1"/>
    <col min="5128" max="5130" width="10.28515625" style="15" customWidth="1"/>
    <col min="5131" max="5131" width="9.5703125" style="15" customWidth="1"/>
    <col min="5132" max="5132" width="10.42578125" style="15" customWidth="1"/>
    <col min="5133" max="5133" width="9.140625" style="15"/>
    <col min="5134" max="5134" width="10.42578125" style="15" bestFit="1" customWidth="1"/>
    <col min="5135" max="5374" width="9.140625" style="15"/>
    <col min="5375" max="5375" width="4.28515625" style="15" customWidth="1"/>
    <col min="5376" max="5376" width="8.85546875" style="15" customWidth="1"/>
    <col min="5377" max="5377" width="60.5703125" style="15" customWidth="1"/>
    <col min="5378" max="5378" width="5.85546875" style="15" customWidth="1"/>
    <col min="5379" max="5379" width="12.140625" style="15" customWidth="1"/>
    <col min="5380" max="5380" width="11.5703125" style="15" customWidth="1"/>
    <col min="5381" max="5381" width="10.28515625" style="15" bestFit="1" customWidth="1"/>
    <col min="5382" max="5382" width="12.140625" style="15" customWidth="1"/>
    <col min="5383" max="5383" width="10.7109375" style="15" customWidth="1"/>
    <col min="5384" max="5386" width="10.28515625" style="15" customWidth="1"/>
    <col min="5387" max="5387" width="9.5703125" style="15" customWidth="1"/>
    <col min="5388" max="5388" width="10.42578125" style="15" customWidth="1"/>
    <col min="5389" max="5389" width="9.140625" style="15"/>
    <col min="5390" max="5390" width="10.42578125" style="15" bestFit="1" customWidth="1"/>
    <col min="5391" max="5630" width="9.140625" style="15"/>
    <col min="5631" max="5631" width="4.28515625" style="15" customWidth="1"/>
    <col min="5632" max="5632" width="8.85546875" style="15" customWidth="1"/>
    <col min="5633" max="5633" width="60.5703125" style="15" customWidth="1"/>
    <col min="5634" max="5634" width="5.85546875" style="15" customWidth="1"/>
    <col min="5635" max="5635" width="12.140625" style="15" customWidth="1"/>
    <col min="5636" max="5636" width="11.5703125" style="15" customWidth="1"/>
    <col min="5637" max="5637" width="10.28515625" style="15" bestFit="1" customWidth="1"/>
    <col min="5638" max="5638" width="12.140625" style="15" customWidth="1"/>
    <col min="5639" max="5639" width="10.7109375" style="15" customWidth="1"/>
    <col min="5640" max="5642" width="10.28515625" style="15" customWidth="1"/>
    <col min="5643" max="5643" width="9.5703125" style="15" customWidth="1"/>
    <col min="5644" max="5644" width="10.42578125" style="15" customWidth="1"/>
    <col min="5645" max="5645" width="9.140625" style="15"/>
    <col min="5646" max="5646" width="10.42578125" style="15" bestFit="1" customWidth="1"/>
    <col min="5647" max="5886" width="9.140625" style="15"/>
    <col min="5887" max="5887" width="4.28515625" style="15" customWidth="1"/>
    <col min="5888" max="5888" width="8.85546875" style="15" customWidth="1"/>
    <col min="5889" max="5889" width="60.5703125" style="15" customWidth="1"/>
    <col min="5890" max="5890" width="5.85546875" style="15" customWidth="1"/>
    <col min="5891" max="5891" width="12.140625" style="15" customWidth="1"/>
    <col min="5892" max="5892" width="11.5703125" style="15" customWidth="1"/>
    <col min="5893" max="5893" width="10.28515625" style="15" bestFit="1" customWidth="1"/>
    <col min="5894" max="5894" width="12.140625" style="15" customWidth="1"/>
    <col min="5895" max="5895" width="10.7109375" style="15" customWidth="1"/>
    <col min="5896" max="5898" width="10.28515625" style="15" customWidth="1"/>
    <col min="5899" max="5899" width="9.5703125" style="15" customWidth="1"/>
    <col min="5900" max="5900" width="10.42578125" style="15" customWidth="1"/>
    <col min="5901" max="5901" width="9.140625" style="15"/>
    <col min="5902" max="5902" width="10.42578125" style="15" bestFit="1" customWidth="1"/>
    <col min="5903" max="6142" width="9.140625" style="15"/>
    <col min="6143" max="6143" width="4.28515625" style="15" customWidth="1"/>
    <col min="6144" max="6144" width="8.85546875" style="15" customWidth="1"/>
    <col min="6145" max="6145" width="60.5703125" style="15" customWidth="1"/>
    <col min="6146" max="6146" width="5.85546875" style="15" customWidth="1"/>
    <col min="6147" max="6147" width="12.140625" style="15" customWidth="1"/>
    <col min="6148" max="6148" width="11.5703125" style="15" customWidth="1"/>
    <col min="6149" max="6149" width="10.28515625" style="15" bestFit="1" customWidth="1"/>
    <col min="6150" max="6150" width="12.140625" style="15" customWidth="1"/>
    <col min="6151" max="6151" width="10.7109375" style="15" customWidth="1"/>
    <col min="6152" max="6154" width="10.28515625" style="15" customWidth="1"/>
    <col min="6155" max="6155" width="9.5703125" style="15" customWidth="1"/>
    <col min="6156" max="6156" width="10.42578125" style="15" customWidth="1"/>
    <col min="6157" max="6157" width="9.140625" style="15"/>
    <col min="6158" max="6158" width="10.42578125" style="15" bestFit="1" customWidth="1"/>
    <col min="6159" max="6398" width="9.140625" style="15"/>
    <col min="6399" max="6399" width="4.28515625" style="15" customWidth="1"/>
    <col min="6400" max="6400" width="8.85546875" style="15" customWidth="1"/>
    <col min="6401" max="6401" width="60.5703125" style="15" customWidth="1"/>
    <col min="6402" max="6402" width="5.85546875" style="15" customWidth="1"/>
    <col min="6403" max="6403" width="12.140625" style="15" customWidth="1"/>
    <col min="6404" max="6404" width="11.5703125" style="15" customWidth="1"/>
    <col min="6405" max="6405" width="10.28515625" style="15" bestFit="1" customWidth="1"/>
    <col min="6406" max="6406" width="12.140625" style="15" customWidth="1"/>
    <col min="6407" max="6407" width="10.7109375" style="15" customWidth="1"/>
    <col min="6408" max="6410" width="10.28515625" style="15" customWidth="1"/>
    <col min="6411" max="6411" width="9.5703125" style="15" customWidth="1"/>
    <col min="6412" max="6412" width="10.42578125" style="15" customWidth="1"/>
    <col min="6413" max="6413" width="9.140625" style="15"/>
    <col min="6414" max="6414" width="10.42578125" style="15" bestFit="1" customWidth="1"/>
    <col min="6415" max="6654" width="9.140625" style="15"/>
    <col min="6655" max="6655" width="4.28515625" style="15" customWidth="1"/>
    <col min="6656" max="6656" width="8.85546875" style="15" customWidth="1"/>
    <col min="6657" max="6657" width="60.5703125" style="15" customWidth="1"/>
    <col min="6658" max="6658" width="5.85546875" style="15" customWidth="1"/>
    <col min="6659" max="6659" width="12.140625" style="15" customWidth="1"/>
    <col min="6660" max="6660" width="11.5703125" style="15" customWidth="1"/>
    <col min="6661" max="6661" width="10.28515625" style="15" bestFit="1" customWidth="1"/>
    <col min="6662" max="6662" width="12.140625" style="15" customWidth="1"/>
    <col min="6663" max="6663" width="10.7109375" style="15" customWidth="1"/>
    <col min="6664" max="6666" width="10.28515625" style="15" customWidth="1"/>
    <col min="6667" max="6667" width="9.5703125" style="15" customWidth="1"/>
    <col min="6668" max="6668" width="10.42578125" style="15" customWidth="1"/>
    <col min="6669" max="6669" width="9.140625" style="15"/>
    <col min="6670" max="6670" width="10.42578125" style="15" bestFit="1" customWidth="1"/>
    <col min="6671" max="6910" width="9.140625" style="15"/>
    <col min="6911" max="6911" width="4.28515625" style="15" customWidth="1"/>
    <col min="6912" max="6912" width="8.85546875" style="15" customWidth="1"/>
    <col min="6913" max="6913" width="60.5703125" style="15" customWidth="1"/>
    <col min="6914" max="6914" width="5.85546875" style="15" customWidth="1"/>
    <col min="6915" max="6915" width="12.140625" style="15" customWidth="1"/>
    <col min="6916" max="6916" width="11.5703125" style="15" customWidth="1"/>
    <col min="6917" max="6917" width="10.28515625" style="15" bestFit="1" customWidth="1"/>
    <col min="6918" max="6918" width="12.140625" style="15" customWidth="1"/>
    <col min="6919" max="6919" width="10.7109375" style="15" customWidth="1"/>
    <col min="6920" max="6922" width="10.28515625" style="15" customWidth="1"/>
    <col min="6923" max="6923" width="9.5703125" style="15" customWidth="1"/>
    <col min="6924" max="6924" width="10.42578125" style="15" customWidth="1"/>
    <col min="6925" max="6925" width="9.140625" style="15"/>
    <col min="6926" max="6926" width="10.42578125" style="15" bestFit="1" customWidth="1"/>
    <col min="6927" max="7166" width="9.140625" style="15"/>
    <col min="7167" max="7167" width="4.28515625" style="15" customWidth="1"/>
    <col min="7168" max="7168" width="8.85546875" style="15" customWidth="1"/>
    <col min="7169" max="7169" width="60.5703125" style="15" customWidth="1"/>
    <col min="7170" max="7170" width="5.85546875" style="15" customWidth="1"/>
    <col min="7171" max="7171" width="12.140625" style="15" customWidth="1"/>
    <col min="7172" max="7172" width="11.5703125" style="15" customWidth="1"/>
    <col min="7173" max="7173" width="10.28515625" style="15" bestFit="1" customWidth="1"/>
    <col min="7174" max="7174" width="12.140625" style="15" customWidth="1"/>
    <col min="7175" max="7175" width="10.7109375" style="15" customWidth="1"/>
    <col min="7176" max="7178" width="10.28515625" style="15" customWidth="1"/>
    <col min="7179" max="7179" width="9.5703125" style="15" customWidth="1"/>
    <col min="7180" max="7180" width="10.42578125" style="15" customWidth="1"/>
    <col min="7181" max="7181" width="9.140625" style="15"/>
    <col min="7182" max="7182" width="10.42578125" style="15" bestFit="1" customWidth="1"/>
    <col min="7183" max="7422" width="9.140625" style="15"/>
    <col min="7423" max="7423" width="4.28515625" style="15" customWidth="1"/>
    <col min="7424" max="7424" width="8.85546875" style="15" customWidth="1"/>
    <col min="7425" max="7425" width="60.5703125" style="15" customWidth="1"/>
    <col min="7426" max="7426" width="5.85546875" style="15" customWidth="1"/>
    <col min="7427" max="7427" width="12.140625" style="15" customWidth="1"/>
    <col min="7428" max="7428" width="11.5703125" style="15" customWidth="1"/>
    <col min="7429" max="7429" width="10.28515625" style="15" bestFit="1" customWidth="1"/>
    <col min="7430" max="7430" width="12.140625" style="15" customWidth="1"/>
    <col min="7431" max="7431" width="10.7109375" style="15" customWidth="1"/>
    <col min="7432" max="7434" width="10.28515625" style="15" customWidth="1"/>
    <col min="7435" max="7435" width="9.5703125" style="15" customWidth="1"/>
    <col min="7436" max="7436" width="10.42578125" style="15" customWidth="1"/>
    <col min="7437" max="7437" width="9.140625" style="15"/>
    <col min="7438" max="7438" width="10.42578125" style="15" bestFit="1" customWidth="1"/>
    <col min="7439" max="7678" width="9.140625" style="15"/>
    <col min="7679" max="7679" width="4.28515625" style="15" customWidth="1"/>
    <col min="7680" max="7680" width="8.85546875" style="15" customWidth="1"/>
    <col min="7681" max="7681" width="60.5703125" style="15" customWidth="1"/>
    <col min="7682" max="7682" width="5.85546875" style="15" customWidth="1"/>
    <col min="7683" max="7683" width="12.140625" style="15" customWidth="1"/>
    <col min="7684" max="7684" width="11.5703125" style="15" customWidth="1"/>
    <col min="7685" max="7685" width="10.28515625" style="15" bestFit="1" customWidth="1"/>
    <col min="7686" max="7686" width="12.140625" style="15" customWidth="1"/>
    <col min="7687" max="7687" width="10.7109375" style="15" customWidth="1"/>
    <col min="7688" max="7690" width="10.28515625" style="15" customWidth="1"/>
    <col min="7691" max="7691" width="9.5703125" style="15" customWidth="1"/>
    <col min="7692" max="7692" width="10.42578125" style="15" customWidth="1"/>
    <col min="7693" max="7693" width="9.140625" style="15"/>
    <col min="7694" max="7694" width="10.42578125" style="15" bestFit="1" customWidth="1"/>
    <col min="7695" max="7934" width="9.140625" style="15"/>
    <col min="7935" max="7935" width="4.28515625" style="15" customWidth="1"/>
    <col min="7936" max="7936" width="8.85546875" style="15" customWidth="1"/>
    <col min="7937" max="7937" width="60.5703125" style="15" customWidth="1"/>
    <col min="7938" max="7938" width="5.85546875" style="15" customWidth="1"/>
    <col min="7939" max="7939" width="12.140625" style="15" customWidth="1"/>
    <col min="7940" max="7940" width="11.5703125" style="15" customWidth="1"/>
    <col min="7941" max="7941" width="10.28515625" style="15" bestFit="1" customWidth="1"/>
    <col min="7942" max="7942" width="12.140625" style="15" customWidth="1"/>
    <col min="7943" max="7943" width="10.7109375" style="15" customWidth="1"/>
    <col min="7944" max="7946" width="10.28515625" style="15" customWidth="1"/>
    <col min="7947" max="7947" width="9.5703125" style="15" customWidth="1"/>
    <col min="7948" max="7948" width="10.42578125" style="15" customWidth="1"/>
    <col min="7949" max="7949" width="9.140625" style="15"/>
    <col min="7950" max="7950" width="10.42578125" style="15" bestFit="1" customWidth="1"/>
    <col min="7951" max="8190" width="9.140625" style="15"/>
    <col min="8191" max="8191" width="4.28515625" style="15" customWidth="1"/>
    <col min="8192" max="8192" width="8.85546875" style="15" customWidth="1"/>
    <col min="8193" max="8193" width="60.5703125" style="15" customWidth="1"/>
    <col min="8194" max="8194" width="5.85546875" style="15" customWidth="1"/>
    <col min="8195" max="8195" width="12.140625" style="15" customWidth="1"/>
    <col min="8196" max="8196" width="11.5703125" style="15" customWidth="1"/>
    <col min="8197" max="8197" width="10.28515625" style="15" bestFit="1" customWidth="1"/>
    <col min="8198" max="8198" width="12.140625" style="15" customWidth="1"/>
    <col min="8199" max="8199" width="10.7109375" style="15" customWidth="1"/>
    <col min="8200" max="8202" width="10.28515625" style="15" customWidth="1"/>
    <col min="8203" max="8203" width="9.5703125" style="15" customWidth="1"/>
    <col min="8204" max="8204" width="10.42578125" style="15" customWidth="1"/>
    <col min="8205" max="8205" width="9.140625" style="15"/>
    <col min="8206" max="8206" width="10.42578125" style="15" bestFit="1" customWidth="1"/>
    <col min="8207" max="8446" width="9.140625" style="15"/>
    <col min="8447" max="8447" width="4.28515625" style="15" customWidth="1"/>
    <col min="8448" max="8448" width="8.85546875" style="15" customWidth="1"/>
    <col min="8449" max="8449" width="60.5703125" style="15" customWidth="1"/>
    <col min="8450" max="8450" width="5.85546875" style="15" customWidth="1"/>
    <col min="8451" max="8451" width="12.140625" style="15" customWidth="1"/>
    <col min="8452" max="8452" width="11.5703125" style="15" customWidth="1"/>
    <col min="8453" max="8453" width="10.28515625" style="15" bestFit="1" customWidth="1"/>
    <col min="8454" max="8454" width="12.140625" style="15" customWidth="1"/>
    <col min="8455" max="8455" width="10.7109375" style="15" customWidth="1"/>
    <col min="8456" max="8458" width="10.28515625" style="15" customWidth="1"/>
    <col min="8459" max="8459" width="9.5703125" style="15" customWidth="1"/>
    <col min="8460" max="8460" width="10.42578125" style="15" customWidth="1"/>
    <col min="8461" max="8461" width="9.140625" style="15"/>
    <col min="8462" max="8462" width="10.42578125" style="15" bestFit="1" customWidth="1"/>
    <col min="8463" max="8702" width="9.140625" style="15"/>
    <col min="8703" max="8703" width="4.28515625" style="15" customWidth="1"/>
    <col min="8704" max="8704" width="8.85546875" style="15" customWidth="1"/>
    <col min="8705" max="8705" width="60.5703125" style="15" customWidth="1"/>
    <col min="8706" max="8706" width="5.85546875" style="15" customWidth="1"/>
    <col min="8707" max="8707" width="12.140625" style="15" customWidth="1"/>
    <col min="8708" max="8708" width="11.5703125" style="15" customWidth="1"/>
    <col min="8709" max="8709" width="10.28515625" style="15" bestFit="1" customWidth="1"/>
    <col min="8710" max="8710" width="12.140625" style="15" customWidth="1"/>
    <col min="8711" max="8711" width="10.7109375" style="15" customWidth="1"/>
    <col min="8712" max="8714" width="10.28515625" style="15" customWidth="1"/>
    <col min="8715" max="8715" width="9.5703125" style="15" customWidth="1"/>
    <col min="8716" max="8716" width="10.42578125" style="15" customWidth="1"/>
    <col min="8717" max="8717" width="9.140625" style="15"/>
    <col min="8718" max="8718" width="10.42578125" style="15" bestFit="1" customWidth="1"/>
    <col min="8719" max="8958" width="9.140625" style="15"/>
    <col min="8959" max="8959" width="4.28515625" style="15" customWidth="1"/>
    <col min="8960" max="8960" width="8.85546875" style="15" customWidth="1"/>
    <col min="8961" max="8961" width="60.5703125" style="15" customWidth="1"/>
    <col min="8962" max="8962" width="5.85546875" style="15" customWidth="1"/>
    <col min="8963" max="8963" width="12.140625" style="15" customWidth="1"/>
    <col min="8964" max="8964" width="11.5703125" style="15" customWidth="1"/>
    <col min="8965" max="8965" width="10.28515625" style="15" bestFit="1" customWidth="1"/>
    <col min="8966" max="8966" width="12.140625" style="15" customWidth="1"/>
    <col min="8967" max="8967" width="10.7109375" style="15" customWidth="1"/>
    <col min="8968" max="8970" width="10.28515625" style="15" customWidth="1"/>
    <col min="8971" max="8971" width="9.5703125" style="15" customWidth="1"/>
    <col min="8972" max="8972" width="10.42578125" style="15" customWidth="1"/>
    <col min="8973" max="8973" width="9.140625" style="15"/>
    <col min="8974" max="8974" width="10.42578125" style="15" bestFit="1" customWidth="1"/>
    <col min="8975" max="9214" width="9.140625" style="15"/>
    <col min="9215" max="9215" width="4.28515625" style="15" customWidth="1"/>
    <col min="9216" max="9216" width="8.85546875" style="15" customWidth="1"/>
    <col min="9217" max="9217" width="60.5703125" style="15" customWidth="1"/>
    <col min="9218" max="9218" width="5.85546875" style="15" customWidth="1"/>
    <col min="9219" max="9219" width="12.140625" style="15" customWidth="1"/>
    <col min="9220" max="9220" width="11.5703125" style="15" customWidth="1"/>
    <col min="9221" max="9221" width="10.28515625" style="15" bestFit="1" customWidth="1"/>
    <col min="9222" max="9222" width="12.140625" style="15" customWidth="1"/>
    <col min="9223" max="9223" width="10.7109375" style="15" customWidth="1"/>
    <col min="9224" max="9226" width="10.28515625" style="15" customWidth="1"/>
    <col min="9227" max="9227" width="9.5703125" style="15" customWidth="1"/>
    <col min="9228" max="9228" width="10.42578125" style="15" customWidth="1"/>
    <col min="9229" max="9229" width="9.140625" style="15"/>
    <col min="9230" max="9230" width="10.42578125" style="15" bestFit="1" customWidth="1"/>
    <col min="9231" max="9470" width="9.140625" style="15"/>
    <col min="9471" max="9471" width="4.28515625" style="15" customWidth="1"/>
    <col min="9472" max="9472" width="8.85546875" style="15" customWidth="1"/>
    <col min="9473" max="9473" width="60.5703125" style="15" customWidth="1"/>
    <col min="9474" max="9474" width="5.85546875" style="15" customWidth="1"/>
    <col min="9475" max="9475" width="12.140625" style="15" customWidth="1"/>
    <col min="9476" max="9476" width="11.5703125" style="15" customWidth="1"/>
    <col min="9477" max="9477" width="10.28515625" style="15" bestFit="1" customWidth="1"/>
    <col min="9478" max="9478" width="12.140625" style="15" customWidth="1"/>
    <col min="9479" max="9479" width="10.7109375" style="15" customWidth="1"/>
    <col min="9480" max="9482" width="10.28515625" style="15" customWidth="1"/>
    <col min="9483" max="9483" width="9.5703125" style="15" customWidth="1"/>
    <col min="9484" max="9484" width="10.42578125" style="15" customWidth="1"/>
    <col min="9485" max="9485" width="9.140625" style="15"/>
    <col min="9486" max="9486" width="10.42578125" style="15" bestFit="1" customWidth="1"/>
    <col min="9487" max="9726" width="9.140625" style="15"/>
    <col min="9727" max="9727" width="4.28515625" style="15" customWidth="1"/>
    <col min="9728" max="9728" width="8.85546875" style="15" customWidth="1"/>
    <col min="9729" max="9729" width="60.5703125" style="15" customWidth="1"/>
    <col min="9730" max="9730" width="5.85546875" style="15" customWidth="1"/>
    <col min="9731" max="9731" width="12.140625" style="15" customWidth="1"/>
    <col min="9732" max="9732" width="11.5703125" style="15" customWidth="1"/>
    <col min="9733" max="9733" width="10.28515625" style="15" bestFit="1" customWidth="1"/>
    <col min="9734" max="9734" width="12.140625" style="15" customWidth="1"/>
    <col min="9735" max="9735" width="10.7109375" style="15" customWidth="1"/>
    <col min="9736" max="9738" width="10.28515625" style="15" customWidth="1"/>
    <col min="9739" max="9739" width="9.5703125" style="15" customWidth="1"/>
    <col min="9740" max="9740" width="10.42578125" style="15" customWidth="1"/>
    <col min="9741" max="9741" width="9.140625" style="15"/>
    <col min="9742" max="9742" width="10.42578125" style="15" bestFit="1" customWidth="1"/>
    <col min="9743" max="9982" width="9.140625" style="15"/>
    <col min="9983" max="9983" width="4.28515625" style="15" customWidth="1"/>
    <col min="9984" max="9984" width="8.85546875" style="15" customWidth="1"/>
    <col min="9985" max="9985" width="60.5703125" style="15" customWidth="1"/>
    <col min="9986" max="9986" width="5.85546875" style="15" customWidth="1"/>
    <col min="9987" max="9987" width="12.140625" style="15" customWidth="1"/>
    <col min="9988" max="9988" width="11.5703125" style="15" customWidth="1"/>
    <col min="9989" max="9989" width="10.28515625" style="15" bestFit="1" customWidth="1"/>
    <col min="9990" max="9990" width="12.140625" style="15" customWidth="1"/>
    <col min="9991" max="9991" width="10.7109375" style="15" customWidth="1"/>
    <col min="9992" max="9994" width="10.28515625" style="15" customWidth="1"/>
    <col min="9995" max="9995" width="9.5703125" style="15" customWidth="1"/>
    <col min="9996" max="9996" width="10.42578125" style="15" customWidth="1"/>
    <col min="9997" max="9997" width="9.140625" style="15"/>
    <col min="9998" max="9998" width="10.42578125" style="15" bestFit="1" customWidth="1"/>
    <col min="9999" max="10238" width="9.140625" style="15"/>
    <col min="10239" max="10239" width="4.28515625" style="15" customWidth="1"/>
    <col min="10240" max="10240" width="8.85546875" style="15" customWidth="1"/>
    <col min="10241" max="10241" width="60.5703125" style="15" customWidth="1"/>
    <col min="10242" max="10242" width="5.85546875" style="15" customWidth="1"/>
    <col min="10243" max="10243" width="12.140625" style="15" customWidth="1"/>
    <col min="10244" max="10244" width="11.5703125" style="15" customWidth="1"/>
    <col min="10245" max="10245" width="10.28515625" style="15" bestFit="1" customWidth="1"/>
    <col min="10246" max="10246" width="12.140625" style="15" customWidth="1"/>
    <col min="10247" max="10247" width="10.7109375" style="15" customWidth="1"/>
    <col min="10248" max="10250" width="10.28515625" style="15" customWidth="1"/>
    <col min="10251" max="10251" width="9.5703125" style="15" customWidth="1"/>
    <col min="10252" max="10252" width="10.42578125" style="15" customWidth="1"/>
    <col min="10253" max="10253" width="9.140625" style="15"/>
    <col min="10254" max="10254" width="10.42578125" style="15" bestFit="1" customWidth="1"/>
    <col min="10255" max="10494" width="9.140625" style="15"/>
    <col min="10495" max="10495" width="4.28515625" style="15" customWidth="1"/>
    <col min="10496" max="10496" width="8.85546875" style="15" customWidth="1"/>
    <col min="10497" max="10497" width="60.5703125" style="15" customWidth="1"/>
    <col min="10498" max="10498" width="5.85546875" style="15" customWidth="1"/>
    <col min="10499" max="10499" width="12.140625" style="15" customWidth="1"/>
    <col min="10500" max="10500" width="11.5703125" style="15" customWidth="1"/>
    <col min="10501" max="10501" width="10.28515625" style="15" bestFit="1" customWidth="1"/>
    <col min="10502" max="10502" width="12.140625" style="15" customWidth="1"/>
    <col min="10503" max="10503" width="10.7109375" style="15" customWidth="1"/>
    <col min="10504" max="10506" width="10.28515625" style="15" customWidth="1"/>
    <col min="10507" max="10507" width="9.5703125" style="15" customWidth="1"/>
    <col min="10508" max="10508" width="10.42578125" style="15" customWidth="1"/>
    <col min="10509" max="10509" width="9.140625" style="15"/>
    <col min="10510" max="10510" width="10.42578125" style="15" bestFit="1" customWidth="1"/>
    <col min="10511" max="10750" width="9.140625" style="15"/>
    <col min="10751" max="10751" width="4.28515625" style="15" customWidth="1"/>
    <col min="10752" max="10752" width="8.85546875" style="15" customWidth="1"/>
    <col min="10753" max="10753" width="60.5703125" style="15" customWidth="1"/>
    <col min="10754" max="10754" width="5.85546875" style="15" customWidth="1"/>
    <col min="10755" max="10755" width="12.140625" style="15" customWidth="1"/>
    <col min="10756" max="10756" width="11.5703125" style="15" customWidth="1"/>
    <col min="10757" max="10757" width="10.28515625" style="15" bestFit="1" customWidth="1"/>
    <col min="10758" max="10758" width="12.140625" style="15" customWidth="1"/>
    <col min="10759" max="10759" width="10.7109375" style="15" customWidth="1"/>
    <col min="10760" max="10762" width="10.28515625" style="15" customWidth="1"/>
    <col min="10763" max="10763" width="9.5703125" style="15" customWidth="1"/>
    <col min="10764" max="10764" width="10.42578125" style="15" customWidth="1"/>
    <col min="10765" max="10765" width="9.140625" style="15"/>
    <col min="10766" max="10766" width="10.42578125" style="15" bestFit="1" customWidth="1"/>
    <col min="10767" max="11006" width="9.140625" style="15"/>
    <col min="11007" max="11007" width="4.28515625" style="15" customWidth="1"/>
    <col min="11008" max="11008" width="8.85546875" style="15" customWidth="1"/>
    <col min="11009" max="11009" width="60.5703125" style="15" customWidth="1"/>
    <col min="11010" max="11010" width="5.85546875" style="15" customWidth="1"/>
    <col min="11011" max="11011" width="12.140625" style="15" customWidth="1"/>
    <col min="11012" max="11012" width="11.5703125" style="15" customWidth="1"/>
    <col min="11013" max="11013" width="10.28515625" style="15" bestFit="1" customWidth="1"/>
    <col min="11014" max="11014" width="12.140625" style="15" customWidth="1"/>
    <col min="11015" max="11015" width="10.7109375" style="15" customWidth="1"/>
    <col min="11016" max="11018" width="10.28515625" style="15" customWidth="1"/>
    <col min="11019" max="11019" width="9.5703125" style="15" customWidth="1"/>
    <col min="11020" max="11020" width="10.42578125" style="15" customWidth="1"/>
    <col min="11021" max="11021" width="9.140625" style="15"/>
    <col min="11022" max="11022" width="10.42578125" style="15" bestFit="1" customWidth="1"/>
    <col min="11023" max="11262" width="9.140625" style="15"/>
    <col min="11263" max="11263" width="4.28515625" style="15" customWidth="1"/>
    <col min="11264" max="11264" width="8.85546875" style="15" customWidth="1"/>
    <col min="11265" max="11265" width="60.5703125" style="15" customWidth="1"/>
    <col min="11266" max="11266" width="5.85546875" style="15" customWidth="1"/>
    <col min="11267" max="11267" width="12.140625" style="15" customWidth="1"/>
    <col min="11268" max="11268" width="11.5703125" style="15" customWidth="1"/>
    <col min="11269" max="11269" width="10.28515625" style="15" bestFit="1" customWidth="1"/>
    <col min="11270" max="11270" width="12.140625" style="15" customWidth="1"/>
    <col min="11271" max="11271" width="10.7109375" style="15" customWidth="1"/>
    <col min="11272" max="11274" width="10.28515625" style="15" customWidth="1"/>
    <col min="11275" max="11275" width="9.5703125" style="15" customWidth="1"/>
    <col min="11276" max="11276" width="10.42578125" style="15" customWidth="1"/>
    <col min="11277" max="11277" width="9.140625" style="15"/>
    <col min="11278" max="11278" width="10.42578125" style="15" bestFit="1" customWidth="1"/>
    <col min="11279" max="11518" width="9.140625" style="15"/>
    <col min="11519" max="11519" width="4.28515625" style="15" customWidth="1"/>
    <col min="11520" max="11520" width="8.85546875" style="15" customWidth="1"/>
    <col min="11521" max="11521" width="60.5703125" style="15" customWidth="1"/>
    <col min="11522" max="11522" width="5.85546875" style="15" customWidth="1"/>
    <col min="11523" max="11523" width="12.140625" style="15" customWidth="1"/>
    <col min="11524" max="11524" width="11.5703125" style="15" customWidth="1"/>
    <col min="11525" max="11525" width="10.28515625" style="15" bestFit="1" customWidth="1"/>
    <col min="11526" max="11526" width="12.140625" style="15" customWidth="1"/>
    <col min="11527" max="11527" width="10.7109375" style="15" customWidth="1"/>
    <col min="11528" max="11530" width="10.28515625" style="15" customWidth="1"/>
    <col min="11531" max="11531" width="9.5703125" style="15" customWidth="1"/>
    <col min="11532" max="11532" width="10.42578125" style="15" customWidth="1"/>
    <col min="11533" max="11533" width="9.140625" style="15"/>
    <col min="11534" max="11534" width="10.42578125" style="15" bestFit="1" customWidth="1"/>
    <col min="11535" max="11774" width="9.140625" style="15"/>
    <col min="11775" max="11775" width="4.28515625" style="15" customWidth="1"/>
    <col min="11776" max="11776" width="8.85546875" style="15" customWidth="1"/>
    <col min="11777" max="11777" width="60.5703125" style="15" customWidth="1"/>
    <col min="11778" max="11778" width="5.85546875" style="15" customWidth="1"/>
    <col min="11779" max="11779" width="12.140625" style="15" customWidth="1"/>
    <col min="11780" max="11780" width="11.5703125" style="15" customWidth="1"/>
    <col min="11781" max="11781" width="10.28515625" style="15" bestFit="1" customWidth="1"/>
    <col min="11782" max="11782" width="12.140625" style="15" customWidth="1"/>
    <col min="11783" max="11783" width="10.7109375" style="15" customWidth="1"/>
    <col min="11784" max="11786" width="10.28515625" style="15" customWidth="1"/>
    <col min="11787" max="11787" width="9.5703125" style="15" customWidth="1"/>
    <col min="11788" max="11788" width="10.42578125" style="15" customWidth="1"/>
    <col min="11789" max="11789" width="9.140625" style="15"/>
    <col min="11790" max="11790" width="10.42578125" style="15" bestFit="1" customWidth="1"/>
    <col min="11791" max="12030" width="9.140625" style="15"/>
    <col min="12031" max="12031" width="4.28515625" style="15" customWidth="1"/>
    <col min="12032" max="12032" width="8.85546875" style="15" customWidth="1"/>
    <col min="12033" max="12033" width="60.5703125" style="15" customWidth="1"/>
    <col min="12034" max="12034" width="5.85546875" style="15" customWidth="1"/>
    <col min="12035" max="12035" width="12.140625" style="15" customWidth="1"/>
    <col min="12036" max="12036" width="11.5703125" style="15" customWidth="1"/>
    <col min="12037" max="12037" width="10.28515625" style="15" bestFit="1" customWidth="1"/>
    <col min="12038" max="12038" width="12.140625" style="15" customWidth="1"/>
    <col min="12039" max="12039" width="10.7109375" style="15" customWidth="1"/>
    <col min="12040" max="12042" width="10.28515625" style="15" customWidth="1"/>
    <col min="12043" max="12043" width="9.5703125" style="15" customWidth="1"/>
    <col min="12044" max="12044" width="10.42578125" style="15" customWidth="1"/>
    <col min="12045" max="12045" width="9.140625" style="15"/>
    <col min="12046" max="12046" width="10.42578125" style="15" bestFit="1" customWidth="1"/>
    <col min="12047" max="12286" width="9.140625" style="15"/>
    <col min="12287" max="12287" width="4.28515625" style="15" customWidth="1"/>
    <col min="12288" max="12288" width="8.85546875" style="15" customWidth="1"/>
    <col min="12289" max="12289" width="60.5703125" style="15" customWidth="1"/>
    <col min="12290" max="12290" width="5.85546875" style="15" customWidth="1"/>
    <col min="12291" max="12291" width="12.140625" style="15" customWidth="1"/>
    <col min="12292" max="12292" width="11.5703125" style="15" customWidth="1"/>
    <col min="12293" max="12293" width="10.28515625" style="15" bestFit="1" customWidth="1"/>
    <col min="12294" max="12294" width="12.140625" style="15" customWidth="1"/>
    <col min="12295" max="12295" width="10.7109375" style="15" customWidth="1"/>
    <col min="12296" max="12298" width="10.28515625" style="15" customWidth="1"/>
    <col min="12299" max="12299" width="9.5703125" style="15" customWidth="1"/>
    <col min="12300" max="12300" width="10.42578125" style="15" customWidth="1"/>
    <col min="12301" max="12301" width="9.140625" style="15"/>
    <col min="12302" max="12302" width="10.42578125" style="15" bestFit="1" customWidth="1"/>
    <col min="12303" max="12542" width="9.140625" style="15"/>
    <col min="12543" max="12543" width="4.28515625" style="15" customWidth="1"/>
    <col min="12544" max="12544" width="8.85546875" style="15" customWidth="1"/>
    <col min="12545" max="12545" width="60.5703125" style="15" customWidth="1"/>
    <col min="12546" max="12546" width="5.85546875" style="15" customWidth="1"/>
    <col min="12547" max="12547" width="12.140625" style="15" customWidth="1"/>
    <col min="12548" max="12548" width="11.5703125" style="15" customWidth="1"/>
    <col min="12549" max="12549" width="10.28515625" style="15" bestFit="1" customWidth="1"/>
    <col min="12550" max="12550" width="12.140625" style="15" customWidth="1"/>
    <col min="12551" max="12551" width="10.7109375" style="15" customWidth="1"/>
    <col min="12552" max="12554" width="10.28515625" style="15" customWidth="1"/>
    <col min="12555" max="12555" width="9.5703125" style="15" customWidth="1"/>
    <col min="12556" max="12556" width="10.42578125" style="15" customWidth="1"/>
    <col min="12557" max="12557" width="9.140625" style="15"/>
    <col min="12558" max="12558" width="10.42578125" style="15" bestFit="1" customWidth="1"/>
    <col min="12559" max="12798" width="9.140625" style="15"/>
    <col min="12799" max="12799" width="4.28515625" style="15" customWidth="1"/>
    <col min="12800" max="12800" width="8.85546875" style="15" customWidth="1"/>
    <col min="12801" max="12801" width="60.5703125" style="15" customWidth="1"/>
    <col min="12802" max="12802" width="5.85546875" style="15" customWidth="1"/>
    <col min="12803" max="12803" width="12.140625" style="15" customWidth="1"/>
    <col min="12804" max="12804" width="11.5703125" style="15" customWidth="1"/>
    <col min="12805" max="12805" width="10.28515625" style="15" bestFit="1" customWidth="1"/>
    <col min="12806" max="12806" width="12.140625" style="15" customWidth="1"/>
    <col min="12807" max="12807" width="10.7109375" style="15" customWidth="1"/>
    <col min="12808" max="12810" width="10.28515625" style="15" customWidth="1"/>
    <col min="12811" max="12811" width="9.5703125" style="15" customWidth="1"/>
    <col min="12812" max="12812" width="10.42578125" style="15" customWidth="1"/>
    <col min="12813" max="12813" width="9.140625" style="15"/>
    <col min="12814" max="12814" width="10.42578125" style="15" bestFit="1" customWidth="1"/>
    <col min="12815" max="13054" width="9.140625" style="15"/>
    <col min="13055" max="13055" width="4.28515625" style="15" customWidth="1"/>
    <col min="13056" max="13056" width="8.85546875" style="15" customWidth="1"/>
    <col min="13057" max="13057" width="60.5703125" style="15" customWidth="1"/>
    <col min="13058" max="13058" width="5.85546875" style="15" customWidth="1"/>
    <col min="13059" max="13059" width="12.140625" style="15" customWidth="1"/>
    <col min="13060" max="13060" width="11.5703125" style="15" customWidth="1"/>
    <col min="13061" max="13061" width="10.28515625" style="15" bestFit="1" customWidth="1"/>
    <col min="13062" max="13062" width="12.140625" style="15" customWidth="1"/>
    <col min="13063" max="13063" width="10.7109375" style="15" customWidth="1"/>
    <col min="13064" max="13066" width="10.28515625" style="15" customWidth="1"/>
    <col min="13067" max="13067" width="9.5703125" style="15" customWidth="1"/>
    <col min="13068" max="13068" width="10.42578125" style="15" customWidth="1"/>
    <col min="13069" max="13069" width="9.140625" style="15"/>
    <col min="13070" max="13070" width="10.42578125" style="15" bestFit="1" customWidth="1"/>
    <col min="13071" max="13310" width="9.140625" style="15"/>
    <col min="13311" max="13311" width="4.28515625" style="15" customWidth="1"/>
    <col min="13312" max="13312" width="8.85546875" style="15" customWidth="1"/>
    <col min="13313" max="13313" width="60.5703125" style="15" customWidth="1"/>
    <col min="13314" max="13314" width="5.85546875" style="15" customWidth="1"/>
    <col min="13315" max="13315" width="12.140625" style="15" customWidth="1"/>
    <col min="13316" max="13316" width="11.5703125" style="15" customWidth="1"/>
    <col min="13317" max="13317" width="10.28515625" style="15" bestFit="1" customWidth="1"/>
    <col min="13318" max="13318" width="12.140625" style="15" customWidth="1"/>
    <col min="13319" max="13319" width="10.7109375" style="15" customWidth="1"/>
    <col min="13320" max="13322" width="10.28515625" style="15" customWidth="1"/>
    <col min="13323" max="13323" width="9.5703125" style="15" customWidth="1"/>
    <col min="13324" max="13324" width="10.42578125" style="15" customWidth="1"/>
    <col min="13325" max="13325" width="9.140625" style="15"/>
    <col min="13326" max="13326" width="10.42578125" style="15" bestFit="1" customWidth="1"/>
    <col min="13327" max="13566" width="9.140625" style="15"/>
    <col min="13567" max="13567" width="4.28515625" style="15" customWidth="1"/>
    <col min="13568" max="13568" width="8.85546875" style="15" customWidth="1"/>
    <col min="13569" max="13569" width="60.5703125" style="15" customWidth="1"/>
    <col min="13570" max="13570" width="5.85546875" style="15" customWidth="1"/>
    <col min="13571" max="13571" width="12.140625" style="15" customWidth="1"/>
    <col min="13572" max="13572" width="11.5703125" style="15" customWidth="1"/>
    <col min="13573" max="13573" width="10.28515625" style="15" bestFit="1" customWidth="1"/>
    <col min="13574" max="13574" width="12.140625" style="15" customWidth="1"/>
    <col min="13575" max="13575" width="10.7109375" style="15" customWidth="1"/>
    <col min="13576" max="13578" width="10.28515625" style="15" customWidth="1"/>
    <col min="13579" max="13579" width="9.5703125" style="15" customWidth="1"/>
    <col min="13580" max="13580" width="10.42578125" style="15" customWidth="1"/>
    <col min="13581" max="13581" width="9.140625" style="15"/>
    <col min="13582" max="13582" width="10.42578125" style="15" bestFit="1" customWidth="1"/>
    <col min="13583" max="13822" width="9.140625" style="15"/>
    <col min="13823" max="13823" width="4.28515625" style="15" customWidth="1"/>
    <col min="13824" max="13824" width="8.85546875" style="15" customWidth="1"/>
    <col min="13825" max="13825" width="60.5703125" style="15" customWidth="1"/>
    <col min="13826" max="13826" width="5.85546875" style="15" customWidth="1"/>
    <col min="13827" max="13827" width="12.140625" style="15" customWidth="1"/>
    <col min="13828" max="13828" width="11.5703125" style="15" customWidth="1"/>
    <col min="13829" max="13829" width="10.28515625" style="15" bestFit="1" customWidth="1"/>
    <col min="13830" max="13830" width="12.140625" style="15" customWidth="1"/>
    <col min="13831" max="13831" width="10.7109375" style="15" customWidth="1"/>
    <col min="13832" max="13834" width="10.28515625" style="15" customWidth="1"/>
    <col min="13835" max="13835" width="9.5703125" style="15" customWidth="1"/>
    <col min="13836" max="13836" width="10.42578125" style="15" customWidth="1"/>
    <col min="13837" max="13837" width="9.140625" style="15"/>
    <col min="13838" max="13838" width="10.42578125" style="15" bestFit="1" customWidth="1"/>
    <col min="13839" max="14078" width="9.140625" style="15"/>
    <col min="14079" max="14079" width="4.28515625" style="15" customWidth="1"/>
    <col min="14080" max="14080" width="8.85546875" style="15" customWidth="1"/>
    <col min="14081" max="14081" width="60.5703125" style="15" customWidth="1"/>
    <col min="14082" max="14082" width="5.85546875" style="15" customWidth="1"/>
    <col min="14083" max="14083" width="12.140625" style="15" customWidth="1"/>
    <col min="14084" max="14084" width="11.5703125" style="15" customWidth="1"/>
    <col min="14085" max="14085" width="10.28515625" style="15" bestFit="1" customWidth="1"/>
    <col min="14086" max="14086" width="12.140625" style="15" customWidth="1"/>
    <col min="14087" max="14087" width="10.7109375" style="15" customWidth="1"/>
    <col min="14088" max="14090" width="10.28515625" style="15" customWidth="1"/>
    <col min="14091" max="14091" width="9.5703125" style="15" customWidth="1"/>
    <col min="14092" max="14092" width="10.42578125" style="15" customWidth="1"/>
    <col min="14093" max="14093" width="9.140625" style="15"/>
    <col min="14094" max="14094" width="10.42578125" style="15" bestFit="1" customWidth="1"/>
    <col min="14095" max="14334" width="9.140625" style="15"/>
    <col min="14335" max="14335" width="4.28515625" style="15" customWidth="1"/>
    <col min="14336" max="14336" width="8.85546875" style="15" customWidth="1"/>
    <col min="14337" max="14337" width="60.5703125" style="15" customWidth="1"/>
    <col min="14338" max="14338" width="5.85546875" style="15" customWidth="1"/>
    <col min="14339" max="14339" width="12.140625" style="15" customWidth="1"/>
    <col min="14340" max="14340" width="11.5703125" style="15" customWidth="1"/>
    <col min="14341" max="14341" width="10.28515625" style="15" bestFit="1" customWidth="1"/>
    <col min="14342" max="14342" width="12.140625" style="15" customWidth="1"/>
    <col min="14343" max="14343" width="10.7109375" style="15" customWidth="1"/>
    <col min="14344" max="14346" width="10.28515625" style="15" customWidth="1"/>
    <col min="14347" max="14347" width="9.5703125" style="15" customWidth="1"/>
    <col min="14348" max="14348" width="10.42578125" style="15" customWidth="1"/>
    <col min="14349" max="14349" width="9.140625" style="15"/>
    <col min="14350" max="14350" width="10.42578125" style="15" bestFit="1" customWidth="1"/>
    <col min="14351" max="14590" width="9.140625" style="15"/>
    <col min="14591" max="14591" width="4.28515625" style="15" customWidth="1"/>
    <col min="14592" max="14592" width="8.85546875" style="15" customWidth="1"/>
    <col min="14593" max="14593" width="60.5703125" style="15" customWidth="1"/>
    <col min="14594" max="14594" width="5.85546875" style="15" customWidth="1"/>
    <col min="14595" max="14595" width="12.140625" style="15" customWidth="1"/>
    <col min="14596" max="14596" width="11.5703125" style="15" customWidth="1"/>
    <col min="14597" max="14597" width="10.28515625" style="15" bestFit="1" customWidth="1"/>
    <col min="14598" max="14598" width="12.140625" style="15" customWidth="1"/>
    <col min="14599" max="14599" width="10.7109375" style="15" customWidth="1"/>
    <col min="14600" max="14602" width="10.28515625" style="15" customWidth="1"/>
    <col min="14603" max="14603" width="9.5703125" style="15" customWidth="1"/>
    <col min="14604" max="14604" width="10.42578125" style="15" customWidth="1"/>
    <col min="14605" max="14605" width="9.140625" style="15"/>
    <col min="14606" max="14606" width="10.42578125" style="15" bestFit="1" customWidth="1"/>
    <col min="14607" max="14846" width="9.140625" style="15"/>
    <col min="14847" max="14847" width="4.28515625" style="15" customWidth="1"/>
    <col min="14848" max="14848" width="8.85546875" style="15" customWidth="1"/>
    <col min="14849" max="14849" width="60.5703125" style="15" customWidth="1"/>
    <col min="14850" max="14850" width="5.85546875" style="15" customWidth="1"/>
    <col min="14851" max="14851" width="12.140625" style="15" customWidth="1"/>
    <col min="14852" max="14852" width="11.5703125" style="15" customWidth="1"/>
    <col min="14853" max="14853" width="10.28515625" style="15" bestFit="1" customWidth="1"/>
    <col min="14854" max="14854" width="12.140625" style="15" customWidth="1"/>
    <col min="14855" max="14855" width="10.7109375" style="15" customWidth="1"/>
    <col min="14856" max="14858" width="10.28515625" style="15" customWidth="1"/>
    <col min="14859" max="14859" width="9.5703125" style="15" customWidth="1"/>
    <col min="14860" max="14860" width="10.42578125" style="15" customWidth="1"/>
    <col min="14861" max="14861" width="9.140625" style="15"/>
    <col min="14862" max="14862" width="10.42578125" style="15" bestFit="1" customWidth="1"/>
    <col min="14863" max="15102" width="9.140625" style="15"/>
    <col min="15103" max="15103" width="4.28515625" style="15" customWidth="1"/>
    <col min="15104" max="15104" width="8.85546875" style="15" customWidth="1"/>
    <col min="15105" max="15105" width="60.5703125" style="15" customWidth="1"/>
    <col min="15106" max="15106" width="5.85546875" style="15" customWidth="1"/>
    <col min="15107" max="15107" width="12.140625" style="15" customWidth="1"/>
    <col min="15108" max="15108" width="11.5703125" style="15" customWidth="1"/>
    <col min="15109" max="15109" width="10.28515625" style="15" bestFit="1" customWidth="1"/>
    <col min="15110" max="15110" width="12.140625" style="15" customWidth="1"/>
    <col min="15111" max="15111" width="10.7109375" style="15" customWidth="1"/>
    <col min="15112" max="15114" width="10.28515625" style="15" customWidth="1"/>
    <col min="15115" max="15115" width="9.5703125" style="15" customWidth="1"/>
    <col min="15116" max="15116" width="10.42578125" style="15" customWidth="1"/>
    <col min="15117" max="15117" width="9.140625" style="15"/>
    <col min="15118" max="15118" width="10.42578125" style="15" bestFit="1" customWidth="1"/>
    <col min="15119" max="15358" width="9.140625" style="15"/>
    <col min="15359" max="15359" width="4.28515625" style="15" customWidth="1"/>
    <col min="15360" max="15360" width="8.85546875" style="15" customWidth="1"/>
    <col min="15361" max="15361" width="60.5703125" style="15" customWidth="1"/>
    <col min="15362" max="15362" width="5.85546875" style="15" customWidth="1"/>
    <col min="15363" max="15363" width="12.140625" style="15" customWidth="1"/>
    <col min="15364" max="15364" width="11.5703125" style="15" customWidth="1"/>
    <col min="15365" max="15365" width="10.28515625" style="15" bestFit="1" customWidth="1"/>
    <col min="15366" max="15366" width="12.140625" style="15" customWidth="1"/>
    <col min="15367" max="15367" width="10.7109375" style="15" customWidth="1"/>
    <col min="15368" max="15370" width="10.28515625" style="15" customWidth="1"/>
    <col min="15371" max="15371" width="9.5703125" style="15" customWidth="1"/>
    <col min="15372" max="15372" width="10.42578125" style="15" customWidth="1"/>
    <col min="15373" max="15373" width="9.140625" style="15"/>
    <col min="15374" max="15374" width="10.42578125" style="15" bestFit="1" customWidth="1"/>
    <col min="15375" max="15614" width="9.140625" style="15"/>
    <col min="15615" max="15615" width="4.28515625" style="15" customWidth="1"/>
    <col min="15616" max="15616" width="8.85546875" style="15" customWidth="1"/>
    <col min="15617" max="15617" width="60.5703125" style="15" customWidth="1"/>
    <col min="15618" max="15618" width="5.85546875" style="15" customWidth="1"/>
    <col min="15619" max="15619" width="12.140625" style="15" customWidth="1"/>
    <col min="15620" max="15620" width="11.5703125" style="15" customWidth="1"/>
    <col min="15621" max="15621" width="10.28515625" style="15" bestFit="1" customWidth="1"/>
    <col min="15622" max="15622" width="12.140625" style="15" customWidth="1"/>
    <col min="15623" max="15623" width="10.7109375" style="15" customWidth="1"/>
    <col min="15624" max="15626" width="10.28515625" style="15" customWidth="1"/>
    <col min="15627" max="15627" width="9.5703125" style="15" customWidth="1"/>
    <col min="15628" max="15628" width="10.42578125" style="15" customWidth="1"/>
    <col min="15629" max="15629" width="9.140625" style="15"/>
    <col min="15630" max="15630" width="10.42578125" style="15" bestFit="1" customWidth="1"/>
    <col min="15631" max="15870" width="9.140625" style="15"/>
    <col min="15871" max="15871" width="4.28515625" style="15" customWidth="1"/>
    <col min="15872" max="15872" width="8.85546875" style="15" customWidth="1"/>
    <col min="15873" max="15873" width="60.5703125" style="15" customWidth="1"/>
    <col min="15874" max="15874" width="5.85546875" style="15" customWidth="1"/>
    <col min="15875" max="15875" width="12.140625" style="15" customWidth="1"/>
    <col min="15876" max="15876" width="11.5703125" style="15" customWidth="1"/>
    <col min="15877" max="15877" width="10.28515625" style="15" bestFit="1" customWidth="1"/>
    <col min="15878" max="15878" width="12.140625" style="15" customWidth="1"/>
    <col min="15879" max="15879" width="10.7109375" style="15" customWidth="1"/>
    <col min="15880" max="15882" width="10.28515625" style="15" customWidth="1"/>
    <col min="15883" max="15883" width="9.5703125" style="15" customWidth="1"/>
    <col min="15884" max="15884" width="10.42578125" style="15" customWidth="1"/>
    <col min="15885" max="15885" width="9.140625" style="15"/>
    <col min="15886" max="15886" width="10.42578125" style="15" bestFit="1" customWidth="1"/>
    <col min="15887" max="16126" width="9.140625" style="15"/>
    <col min="16127" max="16127" width="4.28515625" style="15" customWidth="1"/>
    <col min="16128" max="16128" width="8.85546875" style="15" customWidth="1"/>
    <col min="16129" max="16129" width="60.5703125" style="15" customWidth="1"/>
    <col min="16130" max="16130" width="5.85546875" style="15" customWidth="1"/>
    <col min="16131" max="16131" width="12.140625" style="15" customWidth="1"/>
    <col min="16132" max="16132" width="11.5703125" style="15" customWidth="1"/>
    <col min="16133" max="16133" width="10.28515625" style="15" bestFit="1" customWidth="1"/>
    <col min="16134" max="16134" width="12.140625" style="15" customWidth="1"/>
    <col min="16135" max="16135" width="10.7109375" style="15" customWidth="1"/>
    <col min="16136" max="16138" width="10.28515625" style="15" customWidth="1"/>
    <col min="16139" max="16139" width="9.5703125" style="15" customWidth="1"/>
    <col min="16140" max="16140" width="10.42578125" style="15" customWidth="1"/>
    <col min="16141" max="16141" width="9.140625" style="15"/>
    <col min="16142" max="16142" width="10.42578125" style="15" bestFit="1" customWidth="1"/>
    <col min="16143" max="16384" width="9.140625" style="15"/>
  </cols>
  <sheetData>
    <row r="1" spans="1:12">
      <c r="A1" s="204" t="s">
        <v>257</v>
      </c>
      <c r="B1" s="204" t="s">
        <v>257</v>
      </c>
      <c r="J1" s="112"/>
      <c r="K1" s="89"/>
      <c r="L1" s="63" t="s">
        <v>290</v>
      </c>
    </row>
    <row r="2" spans="1:12">
      <c r="A2" s="204"/>
      <c r="B2" s="204"/>
      <c r="J2" s="112"/>
      <c r="K2" s="89"/>
      <c r="L2" s="64" t="s">
        <v>291</v>
      </c>
    </row>
    <row r="3" spans="1:12">
      <c r="A3" s="204"/>
      <c r="B3" s="204"/>
      <c r="J3" s="112"/>
      <c r="K3" s="89"/>
      <c r="L3" s="63" t="s">
        <v>292</v>
      </c>
    </row>
    <row r="4" spans="1:12">
      <c r="A4" s="204"/>
      <c r="B4" s="204"/>
      <c r="J4" s="112"/>
      <c r="K4" s="89"/>
      <c r="L4" s="63" t="s">
        <v>293</v>
      </c>
    </row>
    <row r="5" spans="1:12">
      <c r="A5" s="204"/>
      <c r="B5" s="204"/>
      <c r="J5" s="112"/>
      <c r="K5" s="130"/>
      <c r="L5" s="2" t="s">
        <v>294</v>
      </c>
    </row>
    <row r="6" spans="1:12">
      <c r="L6" s="2"/>
    </row>
    <row r="7" spans="1:12" ht="12" customHeight="1">
      <c r="A7" s="328" t="s">
        <v>271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</row>
    <row r="9" spans="1:12" ht="25.9" customHeight="1" thickBot="1">
      <c r="A9" s="329" t="s">
        <v>0</v>
      </c>
      <c r="B9" s="329" t="s">
        <v>29</v>
      </c>
      <c r="C9" s="330" t="s">
        <v>30</v>
      </c>
      <c r="D9" s="330"/>
      <c r="E9" s="331" t="s">
        <v>258</v>
      </c>
      <c r="F9" s="331" t="s">
        <v>259</v>
      </c>
      <c r="G9" s="331" t="s">
        <v>85</v>
      </c>
      <c r="H9" s="332" t="s">
        <v>260</v>
      </c>
      <c r="I9" s="325" t="s">
        <v>261</v>
      </c>
      <c r="J9" s="326"/>
      <c r="K9" s="326"/>
      <c r="L9" s="327"/>
    </row>
    <row r="10" spans="1:12" ht="42" customHeight="1">
      <c r="A10" s="329"/>
      <c r="B10" s="329"/>
      <c r="C10" s="330"/>
      <c r="D10" s="330"/>
      <c r="E10" s="331"/>
      <c r="F10" s="331"/>
      <c r="G10" s="331"/>
      <c r="H10" s="332"/>
      <c r="I10" s="205" t="s">
        <v>262</v>
      </c>
      <c r="J10" s="205" t="s">
        <v>263</v>
      </c>
      <c r="K10" s="297" t="s">
        <v>264</v>
      </c>
      <c r="L10" s="206" t="s">
        <v>211</v>
      </c>
    </row>
    <row r="11" spans="1:12">
      <c r="A11" s="27">
        <v>1</v>
      </c>
      <c r="B11" s="27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07">
        <v>8</v>
      </c>
      <c r="I11" s="207">
        <v>9</v>
      </c>
      <c r="J11" s="207">
        <v>10</v>
      </c>
      <c r="K11" s="298">
        <v>11</v>
      </c>
      <c r="L11" s="295">
        <v>12</v>
      </c>
    </row>
    <row r="12" spans="1:12" ht="24.75" customHeight="1">
      <c r="A12" s="29">
        <v>1</v>
      </c>
      <c r="B12" s="30">
        <v>11111</v>
      </c>
      <c r="C12" s="31" t="s">
        <v>31</v>
      </c>
      <c r="D12" s="32">
        <v>100</v>
      </c>
      <c r="E12" s="47">
        <f>619839.13107+4592.63765</f>
        <v>624431.76872000005</v>
      </c>
      <c r="F12" s="48">
        <f>604829+8000</f>
        <v>612829</v>
      </c>
      <c r="G12" s="48">
        <v>707829</v>
      </c>
      <c r="H12" s="208">
        <v>751984</v>
      </c>
      <c r="I12" s="209">
        <f>817105</f>
        <v>817105</v>
      </c>
      <c r="J12" s="211">
        <f>817105.6+48000</f>
        <v>865105.6</v>
      </c>
      <c r="K12" s="212">
        <f>865105.6+40000+3000</f>
        <v>908105.6</v>
      </c>
      <c r="L12" s="210">
        <f>+K12-J12</f>
        <v>43000</v>
      </c>
    </row>
    <row r="13" spans="1:12">
      <c r="A13" s="29">
        <v>2</v>
      </c>
      <c r="B13" s="29">
        <v>11122100</v>
      </c>
      <c r="C13" s="33" t="s">
        <v>32</v>
      </c>
      <c r="D13" s="32">
        <v>100</v>
      </c>
      <c r="E13" s="47">
        <v>-1.04</v>
      </c>
      <c r="F13" s="48"/>
      <c r="G13" s="48"/>
      <c r="H13" s="208"/>
      <c r="I13" s="211"/>
      <c r="J13" s="211"/>
      <c r="K13" s="212"/>
      <c r="L13" s="262"/>
    </row>
    <row r="14" spans="1:12">
      <c r="A14" s="29">
        <v>3</v>
      </c>
      <c r="B14" s="29">
        <v>11122200</v>
      </c>
      <c r="C14" s="33" t="s">
        <v>33</v>
      </c>
      <c r="D14" s="32">
        <v>100</v>
      </c>
      <c r="E14" s="47"/>
      <c r="F14" s="48"/>
      <c r="G14" s="48"/>
      <c r="H14" s="208"/>
      <c r="I14" s="211"/>
      <c r="J14" s="211"/>
      <c r="K14" s="212"/>
      <c r="L14" s="262"/>
    </row>
    <row r="15" spans="1:12">
      <c r="A15" s="29">
        <v>4</v>
      </c>
      <c r="B15" s="29">
        <v>11122300</v>
      </c>
      <c r="C15" s="33" t="s">
        <v>34</v>
      </c>
      <c r="D15" s="32">
        <v>100</v>
      </c>
      <c r="E15" s="47">
        <v>28711.7781</v>
      </c>
      <c r="F15" s="48">
        <v>49500</v>
      </c>
      <c r="G15" s="48">
        <v>49500</v>
      </c>
      <c r="H15" s="208">
        <v>32281.3</v>
      </c>
      <c r="I15" s="209">
        <v>49500</v>
      </c>
      <c r="J15" s="211">
        <v>49500</v>
      </c>
      <c r="K15" s="212">
        <v>49500</v>
      </c>
      <c r="L15" s="210">
        <f>+K15-J15</f>
        <v>0</v>
      </c>
    </row>
    <row r="16" spans="1:12" ht="25.5">
      <c r="A16" s="29">
        <v>5</v>
      </c>
      <c r="B16" s="29">
        <v>11125100</v>
      </c>
      <c r="C16" s="35" t="s">
        <v>35</v>
      </c>
      <c r="D16" s="32"/>
      <c r="E16" s="47">
        <v>1.7103299999999999</v>
      </c>
      <c r="F16" s="48"/>
      <c r="G16" s="48"/>
      <c r="H16" s="208"/>
      <c r="I16" s="211"/>
      <c r="J16" s="211"/>
      <c r="K16" s="212"/>
      <c r="L16" s="262"/>
    </row>
    <row r="17" spans="1:14">
      <c r="A17" s="29">
        <v>6</v>
      </c>
      <c r="B17" s="30">
        <v>11462</v>
      </c>
      <c r="C17" s="33" t="s">
        <v>36</v>
      </c>
      <c r="D17" s="32">
        <v>50</v>
      </c>
      <c r="E17" s="47">
        <f>136.1755+0.40869+58.3655-21.5+39.05895+2319.63241</f>
        <v>2532.1410500000002</v>
      </c>
      <c r="F17" s="47">
        <v>3330.4</v>
      </c>
      <c r="G17" s="47">
        <v>3330.4</v>
      </c>
      <c r="H17" s="208">
        <v>4188.8</v>
      </c>
      <c r="I17" s="209">
        <v>3330.4</v>
      </c>
      <c r="J17" s="294">
        <v>3330.4</v>
      </c>
      <c r="K17" s="215">
        <v>3330.4</v>
      </c>
      <c r="L17" s="210">
        <f>+K17-J17</f>
        <v>0</v>
      </c>
    </row>
    <row r="18" spans="1:14" ht="12.75" customHeight="1">
      <c r="A18" s="29"/>
      <c r="B18" s="36"/>
      <c r="C18" s="37" t="s">
        <v>37</v>
      </c>
      <c r="D18" s="37"/>
      <c r="E18" s="216">
        <f t="shared" ref="E18" si="0">SUM(E12:E17)</f>
        <v>655676.35820000002</v>
      </c>
      <c r="F18" s="217">
        <f>SUM(F12:F17)</f>
        <v>665659.4</v>
      </c>
      <c r="G18" s="217">
        <f>SUM(G12:G17)</f>
        <v>760659.4</v>
      </c>
      <c r="H18" s="218">
        <f t="shared" ref="H18:L18" si="1">SUM(H12:H17)</f>
        <v>788454.10000000009</v>
      </c>
      <c r="I18" s="219">
        <f t="shared" si="1"/>
        <v>869935.4</v>
      </c>
      <c r="J18" s="219">
        <f t="shared" si="1"/>
        <v>917936</v>
      </c>
      <c r="K18" s="220">
        <f t="shared" ref="K18" si="2">SUM(K12:K17)</f>
        <v>960936</v>
      </c>
      <c r="L18" s="221">
        <f t="shared" si="1"/>
        <v>43000</v>
      </c>
    </row>
    <row r="19" spans="1:14">
      <c r="A19" s="29">
        <v>7</v>
      </c>
      <c r="B19" s="29">
        <v>11311100</v>
      </c>
      <c r="C19" s="33" t="s">
        <v>38</v>
      </c>
      <c r="D19" s="32">
        <v>100</v>
      </c>
      <c r="E19" s="47">
        <v>17183.594349999999</v>
      </c>
      <c r="F19" s="48">
        <f>17200+500</f>
        <v>17700</v>
      </c>
      <c r="G19" s="48">
        <f>17200+500</f>
        <v>17700</v>
      </c>
      <c r="H19" s="208">
        <f>15469.2+0.5</f>
        <v>15469.7</v>
      </c>
      <c r="I19" s="211">
        <v>17700</v>
      </c>
      <c r="J19" s="211">
        <v>17700</v>
      </c>
      <c r="K19" s="212">
        <v>17700</v>
      </c>
      <c r="L19" s="210">
        <f t="shared" ref="L19:L20" si="3">+K19-J19</f>
        <v>0</v>
      </c>
    </row>
    <row r="20" spans="1:14">
      <c r="A20" s="29">
        <v>8</v>
      </c>
      <c r="B20" s="29">
        <v>11311200</v>
      </c>
      <c r="C20" s="33" t="s">
        <v>39</v>
      </c>
      <c r="D20" s="32">
        <v>100</v>
      </c>
      <c r="E20" s="47">
        <v>66110.572450000007</v>
      </c>
      <c r="F20" s="48">
        <v>66000</v>
      </c>
      <c r="G20" s="48">
        <v>66000</v>
      </c>
      <c r="H20" s="208">
        <v>67779.600000000006</v>
      </c>
      <c r="I20" s="211">
        <v>66000</v>
      </c>
      <c r="J20" s="211">
        <v>66000</v>
      </c>
      <c r="K20" s="212">
        <v>66000</v>
      </c>
      <c r="L20" s="210">
        <f t="shared" si="3"/>
        <v>0</v>
      </c>
    </row>
    <row r="21" spans="1:14">
      <c r="A21" s="29">
        <v>9</v>
      </c>
      <c r="B21" s="29">
        <v>11311300</v>
      </c>
      <c r="C21" s="33" t="s">
        <v>40</v>
      </c>
      <c r="D21" s="32">
        <v>100</v>
      </c>
      <c r="E21" s="47">
        <v>51.890639999999998</v>
      </c>
      <c r="F21" s="48"/>
      <c r="G21" s="48"/>
      <c r="H21" s="208">
        <v>-40.700000000000003</v>
      </c>
      <c r="I21" s="211"/>
      <c r="J21" s="211"/>
      <c r="K21" s="212"/>
      <c r="L21" s="213"/>
    </row>
    <row r="22" spans="1:14">
      <c r="A22" s="29">
        <v>10</v>
      </c>
      <c r="B22" s="30">
        <v>11312</v>
      </c>
      <c r="C22" s="33" t="s">
        <v>41</v>
      </c>
      <c r="D22" s="32">
        <v>100</v>
      </c>
      <c r="E22" s="47">
        <f>1934.90386+19556.53233</f>
        <v>21491.436189999997</v>
      </c>
      <c r="F22" s="48">
        <f>21000+4400+2000</f>
        <v>27400</v>
      </c>
      <c r="G22" s="48"/>
      <c r="H22" s="208">
        <v>712.5</v>
      </c>
      <c r="I22" s="211">
        <v>0</v>
      </c>
      <c r="J22" s="211">
        <v>0</v>
      </c>
      <c r="K22" s="212">
        <v>0</v>
      </c>
      <c r="L22" s="210">
        <f t="shared" ref="L22:L27" si="4">+K22-J22</f>
        <v>0</v>
      </c>
    </row>
    <row r="23" spans="1:14" ht="13.5" customHeight="1">
      <c r="A23" s="29">
        <v>11</v>
      </c>
      <c r="B23" s="29">
        <v>11321100</v>
      </c>
      <c r="C23" s="33" t="s">
        <v>42</v>
      </c>
      <c r="D23" s="32">
        <v>100</v>
      </c>
      <c r="E23" s="47">
        <v>11904.29384</v>
      </c>
      <c r="F23" s="48">
        <f>11900+100</f>
        <v>12000</v>
      </c>
      <c r="G23" s="48">
        <f>11900+100</f>
        <v>12000</v>
      </c>
      <c r="H23" s="208">
        <f>14744.3+0.4</f>
        <v>14744.699999999999</v>
      </c>
      <c r="I23" s="211">
        <v>12000</v>
      </c>
      <c r="J23" s="211">
        <f>11900+100</f>
        <v>12000</v>
      </c>
      <c r="K23" s="212">
        <f>11900+100</f>
        <v>12000</v>
      </c>
      <c r="L23" s="210">
        <f t="shared" si="4"/>
        <v>0</v>
      </c>
    </row>
    <row r="24" spans="1:14">
      <c r="A24" s="29">
        <v>12</v>
      </c>
      <c r="B24" s="29">
        <v>11321200</v>
      </c>
      <c r="C24" s="33" t="s">
        <v>43</v>
      </c>
      <c r="D24" s="32">
        <v>100</v>
      </c>
      <c r="E24" s="47">
        <v>82.077200000000005</v>
      </c>
      <c r="F24" s="48">
        <v>500</v>
      </c>
      <c r="G24" s="48"/>
      <c r="H24" s="208">
        <v>47.8</v>
      </c>
      <c r="I24" s="211">
        <v>0</v>
      </c>
      <c r="J24" s="211">
        <v>0</v>
      </c>
      <c r="K24" s="212">
        <v>0</v>
      </c>
      <c r="L24" s="210">
        <f t="shared" si="4"/>
        <v>0</v>
      </c>
    </row>
    <row r="25" spans="1:14" ht="25.5">
      <c r="A25" s="29">
        <v>13</v>
      </c>
      <c r="B25" s="29">
        <v>11321300</v>
      </c>
      <c r="C25" s="35" t="s">
        <v>44</v>
      </c>
      <c r="D25" s="32">
        <v>100</v>
      </c>
      <c r="E25" s="47">
        <v>37493.500110000001</v>
      </c>
      <c r="F25" s="48">
        <v>37200</v>
      </c>
      <c r="G25" s="48">
        <v>37200</v>
      </c>
      <c r="H25" s="208">
        <v>44007.199999999997</v>
      </c>
      <c r="I25" s="211">
        <v>37200</v>
      </c>
      <c r="J25" s="211">
        <v>37200</v>
      </c>
      <c r="K25" s="212">
        <v>37200</v>
      </c>
      <c r="L25" s="210">
        <f t="shared" si="4"/>
        <v>0</v>
      </c>
    </row>
    <row r="26" spans="1:14">
      <c r="A26" s="29">
        <v>14</v>
      </c>
      <c r="B26" s="29">
        <v>14224200</v>
      </c>
      <c r="C26" s="35" t="s">
        <v>45</v>
      </c>
      <c r="D26" s="32">
        <v>100</v>
      </c>
      <c r="E26" s="47">
        <v>1293.9566299999999</v>
      </c>
      <c r="F26" s="48">
        <v>1300</v>
      </c>
      <c r="G26" s="48">
        <v>1300</v>
      </c>
      <c r="H26" s="208">
        <v>1516.1</v>
      </c>
      <c r="I26" s="211">
        <v>1300</v>
      </c>
      <c r="J26" s="211">
        <v>1300</v>
      </c>
      <c r="K26" s="212">
        <v>1300</v>
      </c>
      <c r="L26" s="210">
        <f t="shared" si="4"/>
        <v>0</v>
      </c>
    </row>
    <row r="27" spans="1:14" ht="25.5">
      <c r="A27" s="29">
        <v>15</v>
      </c>
      <c r="B27" s="29">
        <v>14511400</v>
      </c>
      <c r="C27" s="38" t="s">
        <v>46</v>
      </c>
      <c r="D27" s="35"/>
      <c r="E27" s="47">
        <v>84.718199999999996</v>
      </c>
      <c r="F27" s="48">
        <v>70</v>
      </c>
      <c r="G27" s="48">
        <v>70</v>
      </c>
      <c r="H27" s="208">
        <v>189.9</v>
      </c>
      <c r="I27" s="209">
        <v>70</v>
      </c>
      <c r="J27" s="211">
        <v>70</v>
      </c>
      <c r="K27" s="212">
        <v>70</v>
      </c>
      <c r="L27" s="210">
        <f t="shared" si="4"/>
        <v>0</v>
      </c>
    </row>
    <row r="28" spans="1:14">
      <c r="A28" s="29">
        <v>16</v>
      </c>
      <c r="B28" s="33">
        <v>11611200</v>
      </c>
      <c r="C28" s="35" t="s">
        <v>47</v>
      </c>
      <c r="D28" s="35"/>
      <c r="E28" s="47">
        <v>2.5999999999999999E-2</v>
      </c>
      <c r="F28" s="48"/>
      <c r="G28" s="48"/>
      <c r="H28" s="208">
        <v>2.5999999999999999E-2</v>
      </c>
      <c r="I28" s="211"/>
      <c r="J28" s="211"/>
      <c r="K28" s="212"/>
      <c r="L28" s="213"/>
    </row>
    <row r="29" spans="1:14" ht="13.5" customHeight="1">
      <c r="A29" s="29"/>
      <c r="B29" s="36"/>
      <c r="C29" s="37" t="s">
        <v>48</v>
      </c>
      <c r="D29" s="37"/>
      <c r="E29" s="39">
        <f>SUM(E19:E28)</f>
        <v>155696.06561000002</v>
      </c>
      <c r="F29" s="39">
        <f t="shared" ref="F29:G29" si="5">SUM(F19:F27)</f>
        <v>162170</v>
      </c>
      <c r="G29" s="39">
        <f t="shared" si="5"/>
        <v>134270</v>
      </c>
      <c r="H29" s="222">
        <f>SUM(H19:H28)</f>
        <v>144426.826</v>
      </c>
      <c r="I29" s="222">
        <f t="shared" ref="I29:L29" si="6">SUM(I19:I27)</f>
        <v>134270</v>
      </c>
      <c r="J29" s="222">
        <f t="shared" si="6"/>
        <v>134270</v>
      </c>
      <c r="K29" s="223">
        <f t="shared" ref="K29" si="7">SUM(K19:K27)</f>
        <v>134270</v>
      </c>
      <c r="L29" s="224">
        <f t="shared" si="6"/>
        <v>0</v>
      </c>
      <c r="N29" s="40"/>
    </row>
    <row r="30" spans="1:14" ht="13.5" customHeight="1">
      <c r="A30" s="29"/>
      <c r="B30" s="29"/>
      <c r="C30" s="41" t="s">
        <v>49</v>
      </c>
      <c r="D30" s="41"/>
      <c r="E30" s="216">
        <f t="shared" ref="E30:H30" si="8">E29+E18</f>
        <v>811372.42381000007</v>
      </c>
      <c r="F30" s="217">
        <f t="shared" si="8"/>
        <v>827829.4</v>
      </c>
      <c r="G30" s="217">
        <f t="shared" si="8"/>
        <v>894929.4</v>
      </c>
      <c r="H30" s="218">
        <f t="shared" si="8"/>
        <v>932880.92600000009</v>
      </c>
      <c r="I30" s="219">
        <f>I29+I18</f>
        <v>1004205.4</v>
      </c>
      <c r="J30" s="219">
        <f t="shared" ref="J30:L30" si="9">J29+J18</f>
        <v>1052206</v>
      </c>
      <c r="K30" s="220">
        <f t="shared" ref="K30" si="10">K29+K18</f>
        <v>1095206</v>
      </c>
      <c r="L30" s="221">
        <f t="shared" si="9"/>
        <v>43000</v>
      </c>
      <c r="M30" s="40"/>
    </row>
    <row r="31" spans="1:14" s="44" customFormat="1">
      <c r="A31" s="29">
        <v>17</v>
      </c>
      <c r="B31" s="30">
        <v>14152100</v>
      </c>
      <c r="C31" s="36" t="s">
        <v>50</v>
      </c>
      <c r="D31" s="42">
        <v>100</v>
      </c>
      <c r="E31" s="43">
        <f t="shared" ref="E31" si="11">SUM(E32:E35)</f>
        <v>48137.441399999996</v>
      </c>
      <c r="F31" s="43">
        <f>SUM(F32:F35)</f>
        <v>59916.860799999995</v>
      </c>
      <c r="G31" s="43">
        <f>SUM(G32:G35)</f>
        <v>64616.860799999995</v>
      </c>
      <c r="H31" s="225">
        <v>72960.7</v>
      </c>
      <c r="I31" s="225">
        <v>64616.9</v>
      </c>
      <c r="J31" s="225">
        <f>SUM(J32:J35)</f>
        <v>90718.799999999988</v>
      </c>
      <c r="K31" s="226">
        <f>SUM(K32:K35)</f>
        <v>97718.799999999988</v>
      </c>
      <c r="L31" s="227">
        <f>SUM(L32:L35)</f>
        <v>7000</v>
      </c>
      <c r="N31" s="228"/>
    </row>
    <row r="32" spans="1:14">
      <c r="A32" s="29"/>
      <c r="B32" s="29"/>
      <c r="C32" s="300" t="s">
        <v>51</v>
      </c>
      <c r="D32" s="301">
        <v>100</v>
      </c>
      <c r="E32" s="229">
        <f>1144.873+1574.38+1719.034+1728.257+2241.12+2257.05+2365.534+2112.928+2564.602+2500+2500+2500</f>
        <v>25207.777999999998</v>
      </c>
      <c r="F32" s="230">
        <f>29400+400</f>
        <v>29800</v>
      </c>
      <c r="G32" s="230">
        <f>29400+400+2700</f>
        <v>32500</v>
      </c>
      <c r="H32" s="231"/>
      <c r="I32" s="231"/>
      <c r="J32" s="231">
        <f>42500+3000</f>
        <v>45500</v>
      </c>
      <c r="K32" s="232">
        <f>42500+3000+7000</f>
        <v>52500</v>
      </c>
      <c r="L32" s="233">
        <f t="shared" ref="L32:L37" si="12">+K32-J32</f>
        <v>7000</v>
      </c>
    </row>
    <row r="33" spans="1:12">
      <c r="A33" s="29"/>
      <c r="B33" s="29"/>
      <c r="C33" s="234" t="s">
        <v>21</v>
      </c>
      <c r="D33" s="235">
        <v>100</v>
      </c>
      <c r="E33" s="236">
        <f>716.745+737.891+771.011+719.676+773.59+792.188+748.9861+732.1913+1027.893+793.668+1034.663+1800+1800+1800</f>
        <v>14248.502399999999</v>
      </c>
      <c r="F33" s="237">
        <f>6465.516+1048.32</f>
        <v>7513.8359999999993</v>
      </c>
      <c r="G33" s="237">
        <f>6465.516+1048.32+2000</f>
        <v>9513.8359999999993</v>
      </c>
      <c r="H33" s="238"/>
      <c r="I33" s="238"/>
      <c r="J33" s="238">
        <v>8918.9</v>
      </c>
      <c r="K33" s="239">
        <v>8918.9</v>
      </c>
      <c r="L33" s="296">
        <f t="shared" si="12"/>
        <v>0</v>
      </c>
    </row>
    <row r="34" spans="1:12">
      <c r="A34" s="29"/>
      <c r="B34" s="29"/>
      <c r="C34" s="234" t="s">
        <v>52</v>
      </c>
      <c r="D34" s="235">
        <v>100</v>
      </c>
      <c r="E34" s="236">
        <f>570.864+586.804+594.144+567.484+592.124+567.849+591.089+569.593+580.55+207.746+200+500+250.799</f>
        <v>6379.0460000000003</v>
      </c>
      <c r="F34" s="237">
        <f>2157.96+6958.0896</f>
        <v>9116.0496000000003</v>
      </c>
      <c r="G34" s="237">
        <f>2157.96+6958.0896</f>
        <v>9116.0496000000003</v>
      </c>
      <c r="H34" s="238"/>
      <c r="I34" s="238"/>
      <c r="J34" s="238">
        <v>20359</v>
      </c>
      <c r="K34" s="239">
        <v>20359</v>
      </c>
      <c r="L34" s="296">
        <f t="shared" si="12"/>
        <v>0</v>
      </c>
    </row>
    <row r="35" spans="1:12">
      <c r="A35" s="29"/>
      <c r="B35" s="29"/>
      <c r="C35" s="234" t="s">
        <v>53</v>
      </c>
      <c r="D35" s="235"/>
      <c r="E35" s="236">
        <f>430.688+250.23+233.95+105.47+160.35+152.67+237.952+218.085+364.11+48.61+100</f>
        <v>2302.1150000000002</v>
      </c>
      <c r="F35" s="237">
        <f>1435.356+4859.6652+7191.954</f>
        <v>13486.975200000001</v>
      </c>
      <c r="G35" s="237">
        <f>1435.356+4859.6652+7191.954</f>
        <v>13486.975200000001</v>
      </c>
      <c r="H35" s="238"/>
      <c r="I35" s="238"/>
      <c r="J35" s="238">
        <v>15940.9</v>
      </c>
      <c r="K35" s="239">
        <v>15940.9</v>
      </c>
      <c r="L35" s="296">
        <f t="shared" si="12"/>
        <v>0</v>
      </c>
    </row>
    <row r="36" spans="1:12" s="44" customFormat="1">
      <c r="A36" s="29">
        <v>18</v>
      </c>
      <c r="B36" s="45">
        <v>14152200</v>
      </c>
      <c r="C36" s="302" t="s">
        <v>54</v>
      </c>
      <c r="D36" s="303"/>
      <c r="E36" s="240">
        <v>52.295999999999999</v>
      </c>
      <c r="F36" s="241">
        <v>600</v>
      </c>
      <c r="G36" s="241">
        <v>600</v>
      </c>
      <c r="H36" s="242">
        <v>1088.3</v>
      </c>
      <c r="I36" s="242">
        <v>600</v>
      </c>
      <c r="J36" s="242">
        <v>1000</v>
      </c>
      <c r="K36" s="243">
        <v>1000</v>
      </c>
      <c r="L36" s="233">
        <f t="shared" si="12"/>
        <v>0</v>
      </c>
    </row>
    <row r="37" spans="1:12" s="44" customFormat="1" ht="25.5">
      <c r="A37" s="29">
        <v>19</v>
      </c>
      <c r="B37" s="29">
        <v>14152600</v>
      </c>
      <c r="C37" s="304" t="s">
        <v>55</v>
      </c>
      <c r="D37" s="303">
        <v>100</v>
      </c>
      <c r="E37" s="244">
        <v>4565.0940000000001</v>
      </c>
      <c r="F37" s="245">
        <f>5500+200</f>
        <v>5700</v>
      </c>
      <c r="G37" s="245">
        <f>5500+200</f>
        <v>5700</v>
      </c>
      <c r="H37" s="246">
        <v>5886.1</v>
      </c>
      <c r="I37" s="246">
        <v>5800</v>
      </c>
      <c r="J37" s="246">
        <v>5500</v>
      </c>
      <c r="K37" s="247">
        <v>5500</v>
      </c>
      <c r="L37" s="233">
        <f t="shared" si="12"/>
        <v>0</v>
      </c>
    </row>
    <row r="38" spans="1:12" s="44" customFormat="1" ht="25.5">
      <c r="A38" s="29">
        <v>20</v>
      </c>
      <c r="B38" s="29">
        <v>14211200</v>
      </c>
      <c r="C38" s="35" t="s">
        <v>56</v>
      </c>
      <c r="D38" s="46">
        <v>100</v>
      </c>
      <c r="E38" s="47">
        <v>11098.054099999999</v>
      </c>
      <c r="F38" s="48">
        <f>F39+F40</f>
        <v>17326.031999999999</v>
      </c>
      <c r="G38" s="61">
        <f>G39+G40</f>
        <v>18326.031999999999</v>
      </c>
      <c r="H38" s="248">
        <v>21878.799999999999</v>
      </c>
      <c r="I38" s="248">
        <v>18326</v>
      </c>
      <c r="J38" s="248">
        <f t="shared" ref="J38:L38" si="13">J39+J40</f>
        <v>27325.599999999999</v>
      </c>
      <c r="K38" s="249">
        <f t="shared" ref="K38" si="14">K39+K40</f>
        <v>27325.599999999999</v>
      </c>
      <c r="L38" s="250">
        <f t="shared" si="13"/>
        <v>0</v>
      </c>
    </row>
    <row r="39" spans="1:12">
      <c r="A39" s="29"/>
      <c r="B39" s="29"/>
      <c r="C39" s="49" t="s">
        <v>57</v>
      </c>
      <c r="D39" s="32"/>
      <c r="E39" s="47"/>
      <c r="F39" s="48">
        <v>0</v>
      </c>
      <c r="G39" s="48">
        <v>0</v>
      </c>
      <c r="H39" s="211"/>
      <c r="I39" s="211"/>
      <c r="J39" s="211">
        <v>0</v>
      </c>
      <c r="K39" s="212">
        <v>0</v>
      </c>
      <c r="L39" s="210">
        <f t="shared" ref="L39" si="15">+K39-J39</f>
        <v>0</v>
      </c>
    </row>
    <row r="40" spans="1:12">
      <c r="A40" s="29"/>
      <c r="B40" s="29"/>
      <c r="C40" s="251" t="s">
        <v>21</v>
      </c>
      <c r="D40" s="252"/>
      <c r="E40" s="253"/>
      <c r="F40" s="254">
        <f>6918.84+4362.6+1076.592+600+360+1008+3000</f>
        <v>17326.031999999999</v>
      </c>
      <c r="G40" s="254">
        <f>6918.84+4362.6+1076.592+600+360+1008+3000+1000</f>
        <v>18326.031999999999</v>
      </c>
      <c r="H40" s="255"/>
      <c r="I40" s="255"/>
      <c r="J40" s="255">
        <v>27325.599999999999</v>
      </c>
      <c r="K40" s="256">
        <v>27325.599999999999</v>
      </c>
      <c r="L40" s="296">
        <f>+K40-J40</f>
        <v>0</v>
      </c>
    </row>
    <row r="41" spans="1:12" s="44" customFormat="1">
      <c r="A41" s="29">
        <v>21</v>
      </c>
      <c r="B41" s="29">
        <v>14211900</v>
      </c>
      <c r="C41" s="35" t="s">
        <v>58</v>
      </c>
      <c r="D41" s="46"/>
      <c r="E41" s="47">
        <v>162.65799999999999</v>
      </c>
      <c r="F41" s="48"/>
      <c r="G41" s="48"/>
      <c r="H41" s="211">
        <v>-121.8</v>
      </c>
      <c r="I41" s="211"/>
      <c r="J41" s="211"/>
      <c r="K41" s="212"/>
      <c r="L41" s="213"/>
    </row>
    <row r="42" spans="1:12" s="44" customFormat="1">
      <c r="A42" s="29">
        <v>22</v>
      </c>
      <c r="B42" s="29">
        <v>14224300</v>
      </c>
      <c r="C42" s="33" t="s">
        <v>59</v>
      </c>
      <c r="D42" s="46">
        <v>100</v>
      </c>
      <c r="E42" s="47">
        <v>13943.658799999999</v>
      </c>
      <c r="F42" s="48">
        <f>F43+F44</f>
        <v>16144</v>
      </c>
      <c r="G42" s="61">
        <f>G43+G44</f>
        <v>20292.900000000001</v>
      </c>
      <c r="H42" s="248">
        <v>18986.5</v>
      </c>
      <c r="I42" s="248">
        <v>17144</v>
      </c>
      <c r="J42" s="248">
        <f t="shared" ref="J42:L42" si="16">J43+J44</f>
        <v>21000</v>
      </c>
      <c r="K42" s="249">
        <f t="shared" ref="K42" si="17">K43+K44</f>
        <v>21000</v>
      </c>
      <c r="L42" s="250">
        <f t="shared" si="16"/>
        <v>0</v>
      </c>
    </row>
    <row r="43" spans="1:12">
      <c r="A43" s="29"/>
      <c r="B43" s="29"/>
      <c r="C43" s="305" t="s">
        <v>57</v>
      </c>
      <c r="D43" s="306"/>
      <c r="E43" s="257"/>
      <c r="F43" s="258">
        <f>4500+400</f>
        <v>4900</v>
      </c>
      <c r="G43" s="258">
        <f>4500+400+1148.9</f>
        <v>6048.9</v>
      </c>
      <c r="H43" s="259"/>
      <c r="I43" s="259"/>
      <c r="J43" s="259">
        <v>8000</v>
      </c>
      <c r="K43" s="260">
        <v>8000</v>
      </c>
      <c r="L43" s="233">
        <f>+K43-J43</f>
        <v>0</v>
      </c>
    </row>
    <row r="44" spans="1:12">
      <c r="A44" s="29"/>
      <c r="B44" s="29"/>
      <c r="C44" s="251" t="s">
        <v>21</v>
      </c>
      <c r="D44" s="252"/>
      <c r="E44" s="253"/>
      <c r="F44" s="254">
        <f>240+11004</f>
        <v>11244</v>
      </c>
      <c r="G44" s="254">
        <f>240+11004+1000+2000</f>
        <v>14244</v>
      </c>
      <c r="H44" s="255"/>
      <c r="I44" s="255"/>
      <c r="J44" s="255">
        <v>13000</v>
      </c>
      <c r="K44" s="256">
        <v>13000</v>
      </c>
      <c r="L44" s="296">
        <f>+K44-J44</f>
        <v>0</v>
      </c>
    </row>
    <row r="45" spans="1:12" s="44" customFormat="1" ht="25.5">
      <c r="A45" s="29">
        <v>23</v>
      </c>
      <c r="B45" s="33">
        <v>14221900</v>
      </c>
      <c r="C45" s="251" t="s">
        <v>60</v>
      </c>
      <c r="D45" s="252">
        <v>100</v>
      </c>
      <c r="E45" s="253">
        <v>12458.386</v>
      </c>
      <c r="F45" s="254">
        <f>2241.121+3000+9000+2000</f>
        <v>16241.120999999999</v>
      </c>
      <c r="G45" s="254">
        <f>2241.121+3000+9000+2000</f>
        <v>16241.120999999999</v>
      </c>
      <c r="H45" s="255">
        <v>13856.8</v>
      </c>
      <c r="I45" s="255">
        <v>16241</v>
      </c>
      <c r="J45" s="255">
        <f>1800+2084.4+1700+500+864</f>
        <v>6948.4</v>
      </c>
      <c r="K45" s="256">
        <f>1800+2084.4+1700+500+864</f>
        <v>6948.4</v>
      </c>
      <c r="L45" s="296">
        <f>+K45-J45</f>
        <v>0</v>
      </c>
    </row>
    <row r="46" spans="1:12" ht="38.25">
      <c r="A46" s="29">
        <v>24</v>
      </c>
      <c r="B46" s="33">
        <v>14224410</v>
      </c>
      <c r="C46" s="35" t="s">
        <v>61</v>
      </c>
      <c r="D46" s="35">
        <v>100</v>
      </c>
      <c r="E46" s="47">
        <v>2480</v>
      </c>
      <c r="F46" s="48">
        <v>1850</v>
      </c>
      <c r="G46" s="48">
        <v>1850</v>
      </c>
      <c r="H46" s="211">
        <v>1520</v>
      </c>
      <c r="I46" s="211">
        <v>1850</v>
      </c>
      <c r="J46" s="211">
        <v>1850</v>
      </c>
      <c r="K46" s="212">
        <v>1850</v>
      </c>
      <c r="L46" s="210">
        <f t="shared" ref="L46" si="18">+K46-J46</f>
        <v>0</v>
      </c>
    </row>
    <row r="47" spans="1:12">
      <c r="A47" s="29">
        <v>25</v>
      </c>
      <c r="B47" s="33">
        <v>14151200</v>
      </c>
      <c r="C47" s="50" t="s">
        <v>62</v>
      </c>
      <c r="D47" s="32"/>
      <c r="E47" s="47">
        <v>346.01499999999999</v>
      </c>
      <c r="F47" s="48"/>
      <c r="G47" s="48"/>
      <c r="H47" s="211">
        <v>498.8</v>
      </c>
      <c r="I47" s="211"/>
      <c r="J47" s="211"/>
      <c r="K47" s="212"/>
      <c r="L47" s="213"/>
    </row>
    <row r="48" spans="1:12">
      <c r="A48" s="29">
        <v>26</v>
      </c>
      <c r="B48" s="45">
        <v>14311400</v>
      </c>
      <c r="C48" s="50" t="s">
        <v>63</v>
      </c>
      <c r="D48" s="35"/>
      <c r="E48" s="47"/>
      <c r="F48" s="34"/>
      <c r="G48" s="34"/>
      <c r="H48" s="214"/>
      <c r="I48" s="214"/>
      <c r="J48" s="214"/>
      <c r="K48" s="261"/>
      <c r="L48" s="262"/>
    </row>
    <row r="49" spans="1:14">
      <c r="A49" s="29">
        <v>27</v>
      </c>
      <c r="B49" s="45">
        <v>14311500</v>
      </c>
      <c r="C49" s="50" t="s">
        <v>64</v>
      </c>
      <c r="D49" s="35"/>
      <c r="E49" s="47"/>
      <c r="F49" s="48"/>
      <c r="G49" s="48"/>
      <c r="H49" s="211"/>
      <c r="I49" s="211"/>
      <c r="J49" s="211"/>
      <c r="K49" s="212"/>
      <c r="L49" s="213"/>
    </row>
    <row r="50" spans="1:14">
      <c r="A50" s="29">
        <v>28</v>
      </c>
      <c r="B50" s="45">
        <v>14511100</v>
      </c>
      <c r="C50" s="50" t="s">
        <v>65</v>
      </c>
      <c r="D50" s="35"/>
      <c r="E50" s="47">
        <v>1540.1107999999999</v>
      </c>
      <c r="F50" s="48"/>
      <c r="G50" s="48"/>
      <c r="H50" s="211">
        <v>1584.8</v>
      </c>
      <c r="I50" s="211"/>
      <c r="J50" s="211"/>
      <c r="K50" s="212"/>
      <c r="L50" s="213"/>
    </row>
    <row r="51" spans="1:14">
      <c r="A51" s="29">
        <v>29</v>
      </c>
      <c r="B51" s="263">
        <v>14311410</v>
      </c>
      <c r="C51" s="51" t="s">
        <v>63</v>
      </c>
      <c r="D51" s="35"/>
      <c r="E51" s="47">
        <v>36</v>
      </c>
      <c r="F51" s="48"/>
      <c r="G51" s="48"/>
      <c r="H51" s="211">
        <v>367.5</v>
      </c>
      <c r="I51" s="211"/>
      <c r="J51" s="211"/>
      <c r="K51" s="212"/>
      <c r="L51" s="213"/>
    </row>
    <row r="52" spans="1:14">
      <c r="A52" s="29">
        <v>30</v>
      </c>
      <c r="B52" s="264">
        <v>31121100</v>
      </c>
      <c r="C52" s="265" t="s">
        <v>66</v>
      </c>
      <c r="D52" s="35"/>
      <c r="E52" s="47"/>
      <c r="F52" s="48"/>
      <c r="G52" s="48"/>
      <c r="H52" s="211"/>
      <c r="I52" s="211"/>
      <c r="J52" s="211"/>
      <c r="K52" s="212"/>
      <c r="L52" s="213"/>
    </row>
    <row r="53" spans="1:14">
      <c r="A53" s="29">
        <v>31</v>
      </c>
      <c r="B53" s="264">
        <v>31112120</v>
      </c>
      <c r="C53" s="266" t="s">
        <v>67</v>
      </c>
      <c r="D53" s="267"/>
      <c r="E53" s="268"/>
      <c r="F53" s="269">
        <v>1570</v>
      </c>
      <c r="G53" s="269">
        <v>1570</v>
      </c>
      <c r="H53" s="270">
        <v>573.6</v>
      </c>
      <c r="I53" s="270">
        <v>1570</v>
      </c>
      <c r="J53" s="270">
        <f>500+7.2</f>
        <v>507.2</v>
      </c>
      <c r="K53" s="271">
        <f>500+7.2</f>
        <v>507.2</v>
      </c>
      <c r="L53" s="299">
        <f>+K53-J53</f>
        <v>0</v>
      </c>
    </row>
    <row r="54" spans="1:14">
      <c r="A54" s="29">
        <v>32</v>
      </c>
      <c r="B54" s="29">
        <v>31112190</v>
      </c>
      <c r="C54" s="265" t="s">
        <v>68</v>
      </c>
      <c r="D54" s="272"/>
      <c r="E54" s="47">
        <v>1780.951</v>
      </c>
      <c r="F54" s="48"/>
      <c r="G54" s="48"/>
      <c r="H54" s="208"/>
      <c r="I54" s="211"/>
      <c r="J54" s="211"/>
      <c r="K54" s="212"/>
      <c r="L54" s="213"/>
    </row>
    <row r="55" spans="1:14">
      <c r="A55" s="29">
        <v>33</v>
      </c>
      <c r="B55" s="45">
        <v>31121130</v>
      </c>
      <c r="C55" s="51" t="s">
        <v>69</v>
      </c>
      <c r="D55" s="35"/>
      <c r="E55" s="47"/>
      <c r="F55" s="48"/>
      <c r="G55" s="48"/>
      <c r="H55" s="208"/>
      <c r="I55" s="211"/>
      <c r="J55" s="211"/>
      <c r="K55" s="212"/>
      <c r="L55" s="213"/>
    </row>
    <row r="56" spans="1:14">
      <c r="A56" s="29">
        <v>34</v>
      </c>
      <c r="B56" s="45">
        <v>31121190</v>
      </c>
      <c r="C56" s="50" t="s">
        <v>70</v>
      </c>
      <c r="D56" s="35"/>
      <c r="E56" s="47"/>
      <c r="F56" s="48"/>
      <c r="G56" s="48"/>
      <c r="H56" s="208"/>
      <c r="I56" s="211"/>
      <c r="J56" s="211"/>
      <c r="K56" s="212"/>
      <c r="L56" s="213"/>
    </row>
    <row r="57" spans="1:14" ht="25.5">
      <c r="A57" s="29"/>
      <c r="B57" s="29"/>
      <c r="C57" s="52" t="s">
        <v>71</v>
      </c>
      <c r="D57" s="52"/>
      <c r="E57" s="53">
        <f t="shared" ref="E57" si="19">SUM(E31:E56)-E31</f>
        <v>96600.665100000027</v>
      </c>
      <c r="F57" s="53">
        <f>SUM(F31:F56)-F31-F42-F38</f>
        <v>119348.01379999999</v>
      </c>
      <c r="G57" s="53">
        <f>SUM(G31:G56)-G31-G42-G38</f>
        <v>129196.91379999998</v>
      </c>
      <c r="H57" s="273">
        <f>SUM(H31:H56)</f>
        <v>139080.09999999998</v>
      </c>
      <c r="I57" s="273">
        <f>SUM(I31:I56)</f>
        <v>126147.9</v>
      </c>
      <c r="J57" s="273">
        <f>SUM(J31:J56)-J31-J42-J38</f>
        <v>154850.00000000003</v>
      </c>
      <c r="K57" s="274">
        <f>SUM(K31:K56)-K31-K42-K38</f>
        <v>161850.00000000003</v>
      </c>
      <c r="L57" s="275">
        <f>SUM(L31:L56)-L31-L42-L38</f>
        <v>7000</v>
      </c>
    </row>
    <row r="58" spans="1:14">
      <c r="A58" s="29"/>
      <c r="B58" s="29"/>
      <c r="C58" s="276" t="s">
        <v>72</v>
      </c>
      <c r="D58" s="276"/>
      <c r="E58" s="277">
        <f t="shared" ref="E58:L58" si="20">E57+E30</f>
        <v>907973.08891000005</v>
      </c>
      <c r="F58" s="278">
        <f t="shared" si="20"/>
        <v>947177.41379999998</v>
      </c>
      <c r="G58" s="278">
        <f t="shared" si="20"/>
        <v>1024126.3138</v>
      </c>
      <c r="H58" s="279">
        <f t="shared" si="20"/>
        <v>1071961.0260000001</v>
      </c>
      <c r="I58" s="280">
        <f t="shared" si="20"/>
        <v>1130353.3</v>
      </c>
      <c r="J58" s="280">
        <f t="shared" si="20"/>
        <v>1207056</v>
      </c>
      <c r="K58" s="281">
        <f t="shared" ref="K58" si="21">K57+K30</f>
        <v>1257056</v>
      </c>
      <c r="L58" s="54">
        <f t="shared" si="20"/>
        <v>50000</v>
      </c>
      <c r="N58" s="40"/>
    </row>
    <row r="59" spans="1:14" ht="13.5">
      <c r="A59" s="29"/>
      <c r="B59" s="29"/>
      <c r="C59" s="282" t="s">
        <v>73</v>
      </c>
      <c r="D59" s="282"/>
      <c r="E59" s="55"/>
      <c r="F59" s="56"/>
      <c r="G59" s="56"/>
      <c r="H59" s="283"/>
      <c r="I59" s="284"/>
      <c r="J59" s="284"/>
      <c r="K59" s="285"/>
      <c r="L59" s="286"/>
    </row>
    <row r="60" spans="1:14" ht="22.5" customHeight="1">
      <c r="A60" s="29">
        <v>35</v>
      </c>
      <c r="B60" s="29">
        <v>14232400</v>
      </c>
      <c r="C60" s="35" t="s">
        <v>74</v>
      </c>
      <c r="D60" s="35"/>
      <c r="E60" s="55">
        <v>76362.425000000003</v>
      </c>
      <c r="F60" s="56">
        <f>132321.9+0.1</f>
        <v>132322</v>
      </c>
      <c r="G60" s="56">
        <f>132321.9+0.1+180.6</f>
        <v>132502.6</v>
      </c>
      <c r="H60" s="283">
        <v>107059</v>
      </c>
      <c r="I60" s="284">
        <v>132322</v>
      </c>
      <c r="J60" s="284">
        <f>149925+721.9</f>
        <v>150646.9</v>
      </c>
      <c r="K60" s="285">
        <f>149925+721.9</f>
        <v>150646.9</v>
      </c>
      <c r="L60" s="210">
        <f t="shared" ref="L60:L61" si="22">+K60-J60</f>
        <v>0</v>
      </c>
    </row>
    <row r="61" spans="1:14" ht="25.5">
      <c r="A61" s="29">
        <v>36</v>
      </c>
      <c r="B61" s="29">
        <v>14232900</v>
      </c>
      <c r="C61" s="35" t="s">
        <v>75</v>
      </c>
      <c r="D61" s="35"/>
      <c r="E61" s="55">
        <v>1993.136</v>
      </c>
      <c r="F61" s="56">
        <v>2000</v>
      </c>
      <c r="G61" s="56">
        <f>2000+100</f>
        <v>2100</v>
      </c>
      <c r="H61" s="283">
        <v>2250.1999999999998</v>
      </c>
      <c r="I61" s="287">
        <v>2000</v>
      </c>
      <c r="J61" s="284">
        <v>2000</v>
      </c>
      <c r="K61" s="285">
        <v>2000</v>
      </c>
      <c r="L61" s="210">
        <f t="shared" si="22"/>
        <v>0</v>
      </c>
    </row>
    <row r="62" spans="1:14" ht="28.5" customHeight="1">
      <c r="A62" s="29">
        <v>37</v>
      </c>
      <c r="B62" s="29">
        <v>14236900</v>
      </c>
      <c r="C62" s="35" t="s">
        <v>76</v>
      </c>
      <c r="D62" s="35"/>
      <c r="E62" s="55">
        <v>0</v>
      </c>
      <c r="F62" s="56"/>
      <c r="G62" s="56"/>
      <c r="H62" s="283">
        <v>0</v>
      </c>
      <c r="I62" s="287"/>
      <c r="J62" s="284"/>
      <c r="K62" s="285"/>
      <c r="L62" s="286"/>
    </row>
    <row r="63" spans="1:14" ht="15.75" customHeight="1">
      <c r="A63" s="29">
        <v>38</v>
      </c>
      <c r="B63" s="29">
        <v>14238900</v>
      </c>
      <c r="C63" s="35" t="s">
        <v>77</v>
      </c>
      <c r="D63" s="35"/>
      <c r="E63" s="55">
        <v>100485.13400000001</v>
      </c>
      <c r="F63" s="56">
        <f>1580.9+347.2+100+90+(80146.1)+70+15288.4+30100</f>
        <v>127722.6</v>
      </c>
      <c r="G63" s="56">
        <v>140022.39999999999</v>
      </c>
      <c r="H63" s="283">
        <v>131403.5</v>
      </c>
      <c r="I63" s="287">
        <v>193124.5</v>
      </c>
      <c r="J63" s="284">
        <f>17479.7+8298.2+120000+100+360+81366.2+100</f>
        <v>227704.09999999998</v>
      </c>
      <c r="K63" s="285">
        <f>17479.7+8298.2+120000+100+360+81366.2+100</f>
        <v>227704.09999999998</v>
      </c>
      <c r="L63" s="210">
        <f t="shared" ref="L63:L64" si="23">+K63-J63</f>
        <v>0</v>
      </c>
    </row>
    <row r="64" spans="1:14">
      <c r="A64" s="29">
        <v>39</v>
      </c>
      <c r="B64" s="29">
        <v>14411100</v>
      </c>
      <c r="C64" s="33" t="s">
        <v>78</v>
      </c>
      <c r="D64" s="33"/>
      <c r="E64" s="55">
        <v>1085.95</v>
      </c>
      <c r="F64" s="56">
        <f>100+100+100</f>
        <v>300</v>
      </c>
      <c r="G64" s="56">
        <v>420.4</v>
      </c>
      <c r="H64" s="283">
        <v>0</v>
      </c>
      <c r="I64" s="287">
        <v>300</v>
      </c>
      <c r="J64" s="284">
        <f>100+100+100</f>
        <v>300</v>
      </c>
      <c r="K64" s="285">
        <f>100+100+100+96.3</f>
        <v>396.3</v>
      </c>
      <c r="L64" s="210">
        <f t="shared" si="23"/>
        <v>96.300000000000011</v>
      </c>
    </row>
    <row r="65" spans="1:20">
      <c r="A65" s="29">
        <v>40</v>
      </c>
      <c r="B65" s="29">
        <v>14412100</v>
      </c>
      <c r="C65" s="33" t="s">
        <v>79</v>
      </c>
      <c r="D65" s="33"/>
      <c r="E65" s="55">
        <v>900000</v>
      </c>
      <c r="F65" s="56"/>
      <c r="G65" s="56">
        <v>6680000</v>
      </c>
      <c r="H65" s="283">
        <v>6180000</v>
      </c>
      <c r="I65" s="287"/>
      <c r="J65" s="284"/>
      <c r="K65" s="285"/>
      <c r="L65" s="286"/>
    </row>
    <row r="66" spans="1:20">
      <c r="A66" s="29"/>
      <c r="B66" s="34"/>
      <c r="C66" s="36" t="s">
        <v>80</v>
      </c>
      <c r="D66" s="36"/>
      <c r="E66" s="53">
        <f>SUM(E60:E64)</f>
        <v>179926.64500000002</v>
      </c>
      <c r="F66" s="53">
        <f>SUM(F60:F64)</f>
        <v>262344.59999999998</v>
      </c>
      <c r="G66" s="53">
        <f>SUM(G60:G65)</f>
        <v>6955045.4000000004</v>
      </c>
      <c r="H66" s="273">
        <f>SUM(H60:H64)</f>
        <v>240712.7</v>
      </c>
      <c r="I66" s="273">
        <f t="shared" ref="I66" si="24">SUM(I60:I64)</f>
        <v>327746.5</v>
      </c>
      <c r="J66" s="273">
        <f>SUM(J60:J64)</f>
        <v>380651</v>
      </c>
      <c r="K66" s="274">
        <f>SUM(K60:K64)</f>
        <v>380747.3</v>
      </c>
      <c r="L66" s="275">
        <f>SUM(L60:L64)</f>
        <v>96.300000000000011</v>
      </c>
    </row>
    <row r="67" spans="1:20">
      <c r="A67" s="29">
        <v>41</v>
      </c>
      <c r="B67" s="34">
        <v>13321200</v>
      </c>
      <c r="C67" s="288" t="s">
        <v>81</v>
      </c>
      <c r="D67" s="33"/>
      <c r="E67" s="57">
        <v>1056720.2290000001</v>
      </c>
      <c r="F67" s="57"/>
      <c r="G67" s="57">
        <v>264151.8</v>
      </c>
      <c r="H67" s="289">
        <v>260100.7</v>
      </c>
      <c r="I67" s="289"/>
      <c r="J67" s="289"/>
      <c r="K67" s="290"/>
      <c r="L67" s="291"/>
    </row>
    <row r="68" spans="1:20">
      <c r="A68" s="29">
        <v>42</v>
      </c>
      <c r="B68" s="34">
        <v>13321100</v>
      </c>
      <c r="C68" s="288" t="s">
        <v>82</v>
      </c>
      <c r="D68" s="33"/>
      <c r="E68" s="57">
        <v>2201.83</v>
      </c>
      <c r="F68" s="57"/>
      <c r="G68" s="57"/>
      <c r="H68" s="289"/>
      <c r="I68" s="289"/>
      <c r="J68" s="289"/>
      <c r="K68" s="290"/>
      <c r="L68" s="291"/>
    </row>
    <row r="69" spans="1:20" ht="15">
      <c r="A69" s="29">
        <v>43</v>
      </c>
      <c r="B69" s="34">
        <v>13321300</v>
      </c>
      <c r="C69" s="58" t="s">
        <v>83</v>
      </c>
      <c r="D69" s="33"/>
      <c r="E69" s="57">
        <v>18833.25604</v>
      </c>
      <c r="F69" s="57"/>
      <c r="G69" s="57"/>
      <c r="H69" s="289"/>
      <c r="I69" s="289"/>
      <c r="J69" s="289"/>
      <c r="K69" s="290"/>
      <c r="L69" s="291"/>
    </row>
    <row r="70" spans="1:20" ht="13.5" thickBot="1">
      <c r="A70" s="29"/>
      <c r="B70" s="34"/>
      <c r="C70" s="292" t="s">
        <v>84</v>
      </c>
      <c r="D70" s="292"/>
      <c r="E70" s="53">
        <f>E66+E58+E67+E68+E69+E65</f>
        <v>3065655.0489500002</v>
      </c>
      <c r="F70" s="53">
        <f>F66+F58</f>
        <v>1209522.0137999998</v>
      </c>
      <c r="G70" s="53">
        <f>G66+G58+G67</f>
        <v>8243323.5137999998</v>
      </c>
      <c r="H70" s="273">
        <f>H66+H58+H67+H68+H69+H65</f>
        <v>7752774.426</v>
      </c>
      <c r="I70" s="273">
        <f t="shared" ref="I70:L70" si="25">I66+I58</f>
        <v>1458099.8</v>
      </c>
      <c r="J70" s="273">
        <f>J66+J58</f>
        <v>1587707</v>
      </c>
      <c r="K70" s="293">
        <f>K66+K58</f>
        <v>1637803.3</v>
      </c>
      <c r="L70" s="275">
        <f t="shared" si="25"/>
        <v>50096.3</v>
      </c>
      <c r="N70" s="40"/>
    </row>
    <row r="71" spans="1:20">
      <c r="K71" s="40"/>
      <c r="L71" s="40"/>
    </row>
    <row r="72" spans="1:20">
      <c r="L72" s="40"/>
    </row>
    <row r="73" spans="1:20" ht="15.75">
      <c r="B73" s="59"/>
      <c r="C73" s="60"/>
      <c r="E73" s="40"/>
      <c r="F73" s="40"/>
      <c r="G73" s="40"/>
      <c r="H73" s="40"/>
    </row>
    <row r="74" spans="1:20">
      <c r="B74" s="324" t="s">
        <v>302</v>
      </c>
      <c r="C74" s="324"/>
      <c r="D74" s="324"/>
      <c r="E74" s="324"/>
      <c r="F74" s="324"/>
      <c r="G74" s="32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  <c r="T74" s="324"/>
    </row>
    <row r="75" spans="1:20">
      <c r="E75" s="40"/>
    </row>
    <row r="76" spans="1:20">
      <c r="J76" s="40"/>
    </row>
  </sheetData>
  <mergeCells count="10">
    <mergeCell ref="I9:L9"/>
    <mergeCell ref="A7:L7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39370078740157483" right="0.39370078740157483" top="0.39370078740157483" bottom="0.39370078740157483" header="0.31496062992125984" footer="0.31496062992125984"/>
  <pageSetup paperSize="9" scale="83" fitToHeight="0" orientation="landscape" horizontalDpi="120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O165"/>
  <sheetViews>
    <sheetView view="pageBreakPreview" zoomScale="85" zoomScaleNormal="85" zoomScaleSheetLayoutView="85" workbookViewId="0">
      <selection activeCell="H101" sqref="H101"/>
    </sheetView>
  </sheetViews>
  <sheetFormatPr defaultColWidth="9.140625" defaultRowHeight="12.75"/>
  <cols>
    <col min="1" max="1" width="4" style="25" bestFit="1" customWidth="1"/>
    <col min="2" max="2" width="29.5703125" style="25" customWidth="1"/>
    <col min="3" max="3" width="9.85546875" style="25" customWidth="1"/>
    <col min="4" max="4" width="14.140625" style="314" hidden="1" customWidth="1"/>
    <col min="5" max="5" width="13" style="314" hidden="1" customWidth="1"/>
    <col min="6" max="6" width="14.140625" style="25" customWidth="1"/>
    <col min="7" max="7" width="13" style="25" customWidth="1"/>
    <col min="8" max="8" width="48.140625" style="25" customWidth="1"/>
    <col min="9" max="9" width="10.5703125" style="25" bestFit="1" customWidth="1"/>
    <col min="10" max="10" width="9.140625" style="25"/>
    <col min="11" max="11" width="9.140625" style="1"/>
    <col min="12" max="16384" width="9.140625" style="25"/>
  </cols>
  <sheetData>
    <row r="1" spans="1:11">
      <c r="G1" s="89"/>
      <c r="H1" s="63" t="s">
        <v>290</v>
      </c>
      <c r="K1" s="25"/>
    </row>
    <row r="2" spans="1:11">
      <c r="G2" s="89"/>
      <c r="H2" s="64" t="s">
        <v>291</v>
      </c>
      <c r="K2" s="25"/>
    </row>
    <row r="3" spans="1:11">
      <c r="G3" s="89"/>
      <c r="H3" s="63" t="s">
        <v>292</v>
      </c>
      <c r="K3" s="25"/>
    </row>
    <row r="4" spans="1:11">
      <c r="G4" s="89"/>
      <c r="H4" s="63" t="s">
        <v>293</v>
      </c>
      <c r="K4" s="25"/>
    </row>
    <row r="5" spans="1:11">
      <c r="G5" s="130"/>
      <c r="H5" s="2" t="s">
        <v>295</v>
      </c>
      <c r="K5" s="25"/>
    </row>
    <row r="6" spans="1:11">
      <c r="G6" s="15"/>
      <c r="H6" s="2"/>
    </row>
    <row r="7" spans="1:11">
      <c r="A7" s="340" t="s">
        <v>270</v>
      </c>
      <c r="B7" s="341"/>
      <c r="C7" s="341"/>
      <c r="D7" s="341"/>
      <c r="E7" s="341"/>
      <c r="F7" s="341"/>
      <c r="G7" s="341"/>
      <c r="H7" s="341"/>
      <c r="K7" s="25"/>
    </row>
    <row r="8" spans="1:11">
      <c r="A8" s="82"/>
      <c r="B8" s="83"/>
      <c r="C8" s="83"/>
      <c r="D8" s="315"/>
      <c r="E8" s="315"/>
      <c r="F8" s="83"/>
      <c r="G8" s="83"/>
      <c r="H8" s="83"/>
      <c r="K8" s="25"/>
    </row>
    <row r="9" spans="1:11" ht="51">
      <c r="A9" s="3" t="s">
        <v>0</v>
      </c>
      <c r="B9" s="3" t="s">
        <v>129</v>
      </c>
      <c r="C9" s="3" t="s">
        <v>130</v>
      </c>
      <c r="D9" s="316" t="s">
        <v>3</v>
      </c>
      <c r="E9" s="316" t="s">
        <v>25</v>
      </c>
      <c r="F9" s="4" t="s">
        <v>275</v>
      </c>
      <c r="G9" s="4" t="s">
        <v>276</v>
      </c>
      <c r="H9" s="3" t="s">
        <v>4</v>
      </c>
      <c r="K9" s="25"/>
    </row>
    <row r="10" spans="1:11">
      <c r="A10" s="5">
        <v>1</v>
      </c>
      <c r="B10" s="5">
        <v>2</v>
      </c>
      <c r="C10" s="5">
        <v>3</v>
      </c>
      <c r="D10" s="317">
        <v>4</v>
      </c>
      <c r="E10" s="317">
        <v>5</v>
      </c>
      <c r="F10" s="5">
        <v>4</v>
      </c>
      <c r="G10" s="5">
        <v>5</v>
      </c>
      <c r="H10" s="5">
        <v>6</v>
      </c>
      <c r="K10" s="25"/>
    </row>
    <row r="11" spans="1:11">
      <c r="A11" s="333">
        <v>1</v>
      </c>
      <c r="B11" s="333" t="s">
        <v>5</v>
      </c>
      <c r="C11" s="6">
        <v>2214</v>
      </c>
      <c r="D11" s="68">
        <v>23.5</v>
      </c>
      <c r="E11" s="67"/>
      <c r="F11" s="68">
        <v>23.5</v>
      </c>
      <c r="G11" s="67"/>
      <c r="H11" s="342" t="s">
        <v>6</v>
      </c>
      <c r="K11" s="25"/>
    </row>
    <row r="12" spans="1:11">
      <c r="A12" s="334"/>
      <c r="B12" s="334"/>
      <c r="C12" s="6">
        <v>2215</v>
      </c>
      <c r="D12" s="68">
        <v>46.6</v>
      </c>
      <c r="E12" s="67"/>
      <c r="F12" s="68">
        <v>46.6</v>
      </c>
      <c r="G12" s="67"/>
      <c r="H12" s="343"/>
      <c r="K12" s="25"/>
    </row>
    <row r="13" spans="1:11">
      <c r="A13" s="334"/>
      <c r="B13" s="334"/>
      <c r="C13" s="6">
        <v>2222</v>
      </c>
      <c r="D13" s="68">
        <v>367.5</v>
      </c>
      <c r="E13" s="67"/>
      <c r="F13" s="68">
        <v>367.5</v>
      </c>
      <c r="G13" s="67"/>
      <c r="H13" s="343"/>
      <c r="K13" s="25"/>
    </row>
    <row r="14" spans="1:11">
      <c r="A14" s="334"/>
      <c r="B14" s="334"/>
      <c r="C14" s="6">
        <v>3112</v>
      </c>
      <c r="D14" s="68">
        <v>3.9</v>
      </c>
      <c r="E14" s="67"/>
      <c r="F14" s="68">
        <v>3.9</v>
      </c>
      <c r="G14" s="67"/>
      <c r="H14" s="343"/>
      <c r="K14" s="25"/>
    </row>
    <row r="15" spans="1:11">
      <c r="A15" s="334"/>
      <c r="B15" s="334"/>
      <c r="C15" s="6">
        <v>2222</v>
      </c>
      <c r="D15" s="68"/>
      <c r="E15" s="67">
        <v>1000</v>
      </c>
      <c r="F15" s="68"/>
      <c r="G15" s="67">
        <v>200.2</v>
      </c>
      <c r="H15" s="342" t="s">
        <v>255</v>
      </c>
      <c r="K15" s="25"/>
    </row>
    <row r="16" spans="1:11">
      <c r="A16" s="334"/>
      <c r="B16" s="334"/>
      <c r="C16" s="6">
        <v>3112</v>
      </c>
      <c r="D16" s="68"/>
      <c r="E16" s="67"/>
      <c r="F16" s="68"/>
      <c r="G16" s="67">
        <v>799.8</v>
      </c>
      <c r="H16" s="344"/>
      <c r="K16" s="25"/>
    </row>
    <row r="17" spans="1:11">
      <c r="A17" s="334"/>
      <c r="B17" s="334"/>
      <c r="C17" s="6">
        <v>2215</v>
      </c>
      <c r="D17" s="68"/>
      <c r="E17" s="67"/>
      <c r="F17" s="68"/>
      <c r="G17" s="67">
        <v>1000</v>
      </c>
      <c r="H17" s="307" t="s">
        <v>307</v>
      </c>
      <c r="K17" s="25"/>
    </row>
    <row r="18" spans="1:11">
      <c r="A18" s="334"/>
      <c r="B18" s="334"/>
      <c r="C18" s="6">
        <v>2215</v>
      </c>
      <c r="D18" s="68"/>
      <c r="E18" s="67"/>
      <c r="F18" s="68"/>
      <c r="G18" s="67">
        <v>27.2</v>
      </c>
      <c r="H18" s="24" t="s">
        <v>277</v>
      </c>
      <c r="K18" s="25"/>
    </row>
    <row r="19" spans="1:11">
      <c r="A19" s="334"/>
      <c r="B19" s="334"/>
      <c r="C19" s="6">
        <v>3111</v>
      </c>
      <c r="D19" s="68"/>
      <c r="E19" s="67"/>
      <c r="F19" s="68"/>
      <c r="G19" s="67">
        <v>380</v>
      </c>
      <c r="H19" s="24" t="s">
        <v>278</v>
      </c>
      <c r="K19" s="25"/>
    </row>
    <row r="20" spans="1:11">
      <c r="A20" s="334"/>
      <c r="B20" s="334"/>
      <c r="C20" s="6">
        <v>3112</v>
      </c>
      <c r="D20" s="68"/>
      <c r="E20" s="67">
        <v>60.1</v>
      </c>
      <c r="F20" s="68"/>
      <c r="G20" s="67">
        <v>60.1</v>
      </c>
      <c r="H20" s="8" t="s">
        <v>88</v>
      </c>
      <c r="K20" s="25"/>
    </row>
    <row r="21" spans="1:11">
      <c r="A21" s="334"/>
      <c r="B21" s="334"/>
      <c r="C21" s="6">
        <v>3112</v>
      </c>
      <c r="D21" s="68"/>
      <c r="E21" s="67">
        <v>135.19999999999999</v>
      </c>
      <c r="F21" s="68"/>
      <c r="G21" s="67">
        <v>108</v>
      </c>
      <c r="H21" s="8" t="s">
        <v>89</v>
      </c>
      <c r="K21" s="25"/>
    </row>
    <row r="22" spans="1:11">
      <c r="A22" s="334"/>
      <c r="B22" s="334"/>
      <c r="C22" s="6">
        <v>3112</v>
      </c>
      <c r="D22" s="68"/>
      <c r="E22" s="67"/>
      <c r="F22" s="68"/>
      <c r="G22" s="67">
        <v>100</v>
      </c>
      <c r="H22" s="8" t="s">
        <v>279</v>
      </c>
      <c r="K22" s="25"/>
    </row>
    <row r="23" spans="1:11">
      <c r="A23" s="334"/>
      <c r="B23" s="334"/>
      <c r="C23" s="6">
        <v>3112</v>
      </c>
      <c r="D23" s="68"/>
      <c r="E23" s="67">
        <v>199</v>
      </c>
      <c r="F23" s="68"/>
      <c r="G23" s="67">
        <v>99</v>
      </c>
      <c r="H23" s="8" t="s">
        <v>90</v>
      </c>
      <c r="K23" s="25"/>
    </row>
    <row r="24" spans="1:11">
      <c r="A24" s="335"/>
      <c r="B24" s="335"/>
      <c r="C24" s="3" t="s">
        <v>22</v>
      </c>
      <c r="D24" s="79">
        <f>+SUM(D11:D23)</f>
        <v>441.5</v>
      </c>
      <c r="E24" s="79">
        <f>+SUM(E11:E23)</f>
        <v>1394.3</v>
      </c>
      <c r="F24" s="79">
        <f>+SUM(F11:F23)</f>
        <v>441.5</v>
      </c>
      <c r="G24" s="79">
        <f>+SUM(G11:G23)</f>
        <v>2774.2999999999997</v>
      </c>
      <c r="H24" s="69"/>
    </row>
    <row r="25" spans="1:11" ht="13.9" customHeight="1">
      <c r="A25" s="333">
        <v>2</v>
      </c>
      <c r="B25" s="333" t="s">
        <v>7</v>
      </c>
      <c r="C25" s="6">
        <v>2214</v>
      </c>
      <c r="D25" s="68">
        <v>10.1</v>
      </c>
      <c r="E25" s="67"/>
      <c r="F25" s="68">
        <v>10.1</v>
      </c>
      <c r="G25" s="67"/>
      <c r="H25" s="339" t="s">
        <v>6</v>
      </c>
      <c r="I25" s="26"/>
      <c r="J25" s="26"/>
      <c r="K25" s="9"/>
    </row>
    <row r="26" spans="1:11">
      <c r="A26" s="334"/>
      <c r="B26" s="334"/>
      <c r="C26" s="6">
        <v>2215</v>
      </c>
      <c r="D26" s="68">
        <v>5.3</v>
      </c>
      <c r="E26" s="67"/>
      <c r="F26" s="68">
        <v>5.3</v>
      </c>
      <c r="G26" s="67"/>
      <c r="H26" s="339"/>
      <c r="I26" s="26"/>
      <c r="J26" s="26"/>
      <c r="K26" s="9"/>
    </row>
    <row r="27" spans="1:11">
      <c r="A27" s="334"/>
      <c r="B27" s="334"/>
      <c r="C27" s="6">
        <v>2222</v>
      </c>
      <c r="D27" s="68">
        <v>32.5</v>
      </c>
      <c r="E27" s="67"/>
      <c r="F27" s="68">
        <v>32.5</v>
      </c>
      <c r="G27" s="67"/>
      <c r="H27" s="339"/>
      <c r="I27" s="26"/>
      <c r="J27" s="26"/>
      <c r="K27" s="9"/>
    </row>
    <row r="28" spans="1:11">
      <c r="A28" s="334"/>
      <c r="B28" s="334"/>
      <c r="C28" s="6">
        <v>3112</v>
      </c>
      <c r="D28" s="68">
        <v>1.5</v>
      </c>
      <c r="E28" s="67"/>
      <c r="F28" s="68">
        <v>1.5</v>
      </c>
      <c r="G28" s="67"/>
      <c r="H28" s="339"/>
      <c r="I28" s="26"/>
      <c r="J28" s="26"/>
      <c r="K28" s="9"/>
    </row>
    <row r="29" spans="1:11" ht="13.9" customHeight="1">
      <c r="A29" s="335"/>
      <c r="B29" s="335"/>
      <c r="C29" s="3" t="s">
        <v>22</v>
      </c>
      <c r="D29" s="79">
        <f>+SUM(D25:D28)</f>
        <v>49.4</v>
      </c>
      <c r="E29" s="79">
        <f>+SUM(E25:E28)</f>
        <v>0</v>
      </c>
      <c r="F29" s="79">
        <f>+SUM(F25:F28)</f>
        <v>49.4</v>
      </c>
      <c r="G29" s="79">
        <f>+SUM(G25:G28)</f>
        <v>0</v>
      </c>
      <c r="H29" s="10"/>
      <c r="I29" s="26"/>
      <c r="J29" s="26"/>
      <c r="K29" s="9"/>
    </row>
    <row r="30" spans="1:11" s="70" customFormat="1">
      <c r="A30" s="334">
        <v>3</v>
      </c>
      <c r="B30" s="334" t="s">
        <v>131</v>
      </c>
      <c r="C30" s="6">
        <v>2215</v>
      </c>
      <c r="D30" s="68"/>
      <c r="E30" s="68">
        <v>29.5</v>
      </c>
      <c r="F30" s="68"/>
      <c r="G30" s="68">
        <v>29.5</v>
      </c>
      <c r="H30" s="8" t="s">
        <v>92</v>
      </c>
      <c r="K30" s="71"/>
    </row>
    <row r="31" spans="1:11" s="70" customFormat="1">
      <c r="A31" s="334"/>
      <c r="B31" s="334"/>
      <c r="C31" s="6">
        <v>2215</v>
      </c>
      <c r="D31" s="68"/>
      <c r="E31" s="68">
        <v>10</v>
      </c>
      <c r="F31" s="68"/>
      <c r="G31" s="68">
        <v>10</v>
      </c>
      <c r="H31" s="10" t="s">
        <v>93</v>
      </c>
      <c r="K31" s="71"/>
    </row>
    <row r="32" spans="1:11">
      <c r="A32" s="335"/>
      <c r="B32" s="335"/>
      <c r="C32" s="3" t="s">
        <v>22</v>
      </c>
      <c r="D32" s="79">
        <f>+SUM(D30:D31)</f>
        <v>0</v>
      </c>
      <c r="E32" s="79">
        <f>+SUM(E30:E31)</f>
        <v>39.5</v>
      </c>
      <c r="F32" s="79">
        <f>+SUM(F30:F31)</f>
        <v>0</v>
      </c>
      <c r="G32" s="79">
        <f>+SUM(G30:G31)</f>
        <v>39.5</v>
      </c>
      <c r="H32" s="10"/>
      <c r="I32" s="26"/>
      <c r="J32" s="26"/>
      <c r="K32" s="9"/>
    </row>
    <row r="33" spans="1:11" s="70" customFormat="1" ht="13.9" customHeight="1">
      <c r="A33" s="333">
        <v>4</v>
      </c>
      <c r="B33" s="333" t="s">
        <v>15</v>
      </c>
      <c r="C33" s="6">
        <v>2215</v>
      </c>
      <c r="D33" s="68"/>
      <c r="E33" s="68">
        <v>3.1</v>
      </c>
      <c r="F33" s="68"/>
      <c r="G33" s="68">
        <v>3.1</v>
      </c>
      <c r="H33" s="8" t="s">
        <v>92</v>
      </c>
      <c r="K33" s="71"/>
    </row>
    <row r="34" spans="1:11" s="70" customFormat="1">
      <c r="A34" s="334"/>
      <c r="B34" s="334"/>
      <c r="C34" s="6">
        <v>2222</v>
      </c>
      <c r="D34" s="68"/>
      <c r="E34" s="68">
        <v>4.5</v>
      </c>
      <c r="F34" s="68"/>
      <c r="G34" s="68">
        <v>4.5</v>
      </c>
      <c r="H34" s="8" t="s">
        <v>91</v>
      </c>
      <c r="K34" s="71"/>
    </row>
    <row r="35" spans="1:11">
      <c r="A35" s="335"/>
      <c r="B35" s="335"/>
      <c r="C35" s="3" t="s">
        <v>22</v>
      </c>
      <c r="D35" s="79">
        <f>+SUM(D33:D34)</f>
        <v>0</v>
      </c>
      <c r="E35" s="79">
        <f>+SUM(E33:E34)</f>
        <v>7.6</v>
      </c>
      <c r="F35" s="79">
        <f>+SUM(F33:F34)</f>
        <v>0</v>
      </c>
      <c r="G35" s="79">
        <f>+SUM(G33:G34)</f>
        <v>7.6</v>
      </c>
      <c r="H35" s="10"/>
      <c r="I35" s="26"/>
      <c r="J35" s="26"/>
      <c r="K35" s="9"/>
    </row>
    <row r="36" spans="1:11" s="70" customFormat="1" ht="13.9" customHeight="1">
      <c r="A36" s="333">
        <v>5</v>
      </c>
      <c r="B36" s="333" t="s">
        <v>132</v>
      </c>
      <c r="C36" s="6">
        <v>2215</v>
      </c>
      <c r="D36" s="68"/>
      <c r="E36" s="68">
        <v>1</v>
      </c>
      <c r="F36" s="68"/>
      <c r="G36" s="68">
        <v>1</v>
      </c>
      <c r="H36" s="8" t="s">
        <v>92</v>
      </c>
      <c r="K36" s="71"/>
    </row>
    <row r="37" spans="1:11">
      <c r="A37" s="335"/>
      <c r="B37" s="335"/>
      <c r="C37" s="3" t="s">
        <v>22</v>
      </c>
      <c r="D37" s="79">
        <f>+SUM(D36:D36)</f>
        <v>0</v>
      </c>
      <c r="E37" s="79">
        <f>+SUM(E36:E36)</f>
        <v>1</v>
      </c>
      <c r="F37" s="79">
        <f>+SUM(F36:F36)</f>
        <v>0</v>
      </c>
      <c r="G37" s="79">
        <f>+SUM(G36:G36)</f>
        <v>1</v>
      </c>
      <c r="H37" s="10"/>
      <c r="I37" s="26"/>
      <c r="J37" s="26"/>
      <c r="K37" s="9"/>
    </row>
    <row r="38" spans="1:11" ht="25.5">
      <c r="A38" s="333">
        <v>6</v>
      </c>
      <c r="B38" s="333" t="s">
        <v>94</v>
      </c>
      <c r="C38" s="6">
        <v>2215</v>
      </c>
      <c r="D38" s="68">
        <v>32.5</v>
      </c>
      <c r="E38" s="67"/>
      <c r="F38" s="68">
        <v>32.5</v>
      </c>
      <c r="G38" s="67"/>
      <c r="H38" s="8" t="s">
        <v>95</v>
      </c>
      <c r="I38" s="26"/>
      <c r="J38" s="26"/>
      <c r="K38" s="9"/>
    </row>
    <row r="39" spans="1:11" ht="25.5">
      <c r="A39" s="334"/>
      <c r="B39" s="334"/>
      <c r="C39" s="6">
        <v>3111</v>
      </c>
      <c r="D39" s="68"/>
      <c r="E39" s="67">
        <f>350.1+362.7</f>
        <v>712.8</v>
      </c>
      <c r="F39" s="68"/>
      <c r="G39" s="67">
        <f>350.1+362.7</f>
        <v>712.8</v>
      </c>
      <c r="H39" s="8" t="s">
        <v>96</v>
      </c>
      <c r="I39" s="26"/>
      <c r="J39" s="26"/>
      <c r="K39" s="9"/>
    </row>
    <row r="40" spans="1:11">
      <c r="A40" s="334"/>
      <c r="B40" s="334"/>
      <c r="C40" s="6">
        <v>3112</v>
      </c>
      <c r="D40" s="68"/>
      <c r="E40" s="67">
        <v>61.8</v>
      </c>
      <c r="F40" s="68"/>
      <c r="G40" s="67">
        <v>61.8</v>
      </c>
      <c r="H40" s="8" t="s">
        <v>97</v>
      </c>
      <c r="I40" s="26"/>
      <c r="J40" s="26"/>
      <c r="K40" s="9"/>
    </row>
    <row r="41" spans="1:11" ht="13.9" customHeight="1">
      <c r="A41" s="335"/>
      <c r="B41" s="335"/>
      <c r="C41" s="3" t="s">
        <v>22</v>
      </c>
      <c r="D41" s="79">
        <f>+SUM(D38:D40)</f>
        <v>32.5</v>
      </c>
      <c r="E41" s="79">
        <f>+SUM(E38:E40)</f>
        <v>774.59999999999991</v>
      </c>
      <c r="F41" s="79">
        <f>+SUM(F38:F40)</f>
        <v>32.5</v>
      </c>
      <c r="G41" s="79">
        <f>+SUM(G38:G40)</f>
        <v>774.59999999999991</v>
      </c>
      <c r="H41" s="10"/>
      <c r="I41" s="26"/>
      <c r="J41" s="26"/>
      <c r="K41" s="9"/>
    </row>
    <row r="42" spans="1:11" s="70" customFormat="1" ht="25.5">
      <c r="A42" s="333">
        <v>7</v>
      </c>
      <c r="B42" s="336" t="s">
        <v>8</v>
      </c>
      <c r="C42" s="6">
        <v>3111</v>
      </c>
      <c r="D42" s="68">
        <f>2174.9+169.7+483.4+2150+1356.5+688.3+331+22000</f>
        <v>29353.8</v>
      </c>
      <c r="E42" s="67"/>
      <c r="F42" s="68">
        <f>2174.9+169.7+483.4+2150+1356.5+688.3+331+22000</f>
        <v>29353.8</v>
      </c>
      <c r="G42" s="67"/>
      <c r="H42" s="24" t="s">
        <v>6</v>
      </c>
      <c r="K42" s="71"/>
    </row>
    <row r="43" spans="1:11" s="70" customFormat="1">
      <c r="A43" s="334"/>
      <c r="B43" s="337"/>
      <c r="C43" s="6">
        <v>3111</v>
      </c>
      <c r="D43" s="68"/>
      <c r="E43" s="67"/>
      <c r="F43" s="68"/>
      <c r="G43" s="67">
        <v>500</v>
      </c>
      <c r="H43" s="24" t="s">
        <v>306</v>
      </c>
      <c r="K43" s="71"/>
    </row>
    <row r="44" spans="1:11" s="70" customFormat="1">
      <c r="A44" s="334"/>
      <c r="B44" s="337"/>
      <c r="C44" s="6">
        <v>3111</v>
      </c>
      <c r="D44" s="68"/>
      <c r="E44" s="67">
        <f>100000+8000</f>
        <v>108000</v>
      </c>
      <c r="F44" s="68"/>
      <c r="G44" s="67">
        <v>36772.1</v>
      </c>
      <c r="H44" s="24" t="s">
        <v>144</v>
      </c>
      <c r="K44" s="71"/>
    </row>
    <row r="45" spans="1:11">
      <c r="A45" s="335"/>
      <c r="B45" s="338"/>
      <c r="C45" s="3" t="s">
        <v>22</v>
      </c>
      <c r="D45" s="79">
        <f>+SUM(D42:D44)</f>
        <v>29353.8</v>
      </c>
      <c r="E45" s="79">
        <f>+SUM(E42:E44)</f>
        <v>108000</v>
      </c>
      <c r="F45" s="79">
        <f>+SUM(F42:F44)</f>
        <v>29353.8</v>
      </c>
      <c r="G45" s="79">
        <f>+SUM(G42:G44)</f>
        <v>37272.1</v>
      </c>
      <c r="H45" s="308"/>
    </row>
    <row r="46" spans="1:11" ht="13.9" customHeight="1">
      <c r="A46" s="336">
        <v>8</v>
      </c>
      <c r="B46" s="336" t="s">
        <v>18</v>
      </c>
      <c r="C46" s="6">
        <v>2214</v>
      </c>
      <c r="D46" s="68">
        <f>39.8+2.2+44.6+354.7</f>
        <v>441.29999999999995</v>
      </c>
      <c r="E46" s="67"/>
      <c r="F46" s="68">
        <f>39.8+2.2+44.6+354.7</f>
        <v>441.29999999999995</v>
      </c>
      <c r="G46" s="67"/>
      <c r="H46" s="339" t="s">
        <v>6</v>
      </c>
      <c r="I46" s="26"/>
      <c r="J46" s="72"/>
      <c r="K46" s="73"/>
    </row>
    <row r="47" spans="1:11">
      <c r="A47" s="337"/>
      <c r="B47" s="337"/>
      <c r="C47" s="6">
        <v>2215</v>
      </c>
      <c r="D47" s="68">
        <f>1537.5+7.7</f>
        <v>1545.2</v>
      </c>
      <c r="E47" s="67"/>
      <c r="F47" s="68">
        <f>1537.5+7.7</f>
        <v>1545.2</v>
      </c>
      <c r="G47" s="67"/>
      <c r="H47" s="339"/>
      <c r="I47" s="26"/>
      <c r="J47" s="72"/>
      <c r="K47" s="73"/>
    </row>
    <row r="48" spans="1:11">
      <c r="A48" s="337"/>
      <c r="B48" s="337"/>
      <c r="C48" s="6">
        <v>2222</v>
      </c>
      <c r="D48" s="68">
        <v>48.6</v>
      </c>
      <c r="E48" s="67"/>
      <c r="F48" s="68">
        <v>48.6</v>
      </c>
      <c r="G48" s="67"/>
      <c r="H48" s="339"/>
      <c r="I48" s="26"/>
      <c r="J48" s="72"/>
      <c r="K48" s="73"/>
    </row>
    <row r="49" spans="1:11">
      <c r="A49" s="337"/>
      <c r="B49" s="337"/>
      <c r="C49" s="6">
        <v>2223</v>
      </c>
      <c r="D49" s="68">
        <v>10.3</v>
      </c>
      <c r="E49" s="67"/>
      <c r="F49" s="68">
        <v>10.3</v>
      </c>
      <c r="G49" s="67"/>
      <c r="H49" s="339"/>
      <c r="I49" s="26"/>
      <c r="J49" s="72"/>
      <c r="K49" s="73"/>
    </row>
    <row r="50" spans="1:11">
      <c r="A50" s="337"/>
      <c r="B50" s="337"/>
      <c r="C50" s="6">
        <v>2224</v>
      </c>
      <c r="D50" s="68">
        <v>1638</v>
      </c>
      <c r="E50" s="67"/>
      <c r="F50" s="68">
        <v>1638</v>
      </c>
      <c r="G50" s="67"/>
      <c r="H50" s="339"/>
      <c r="I50" s="26"/>
      <c r="J50" s="72"/>
      <c r="K50" s="73"/>
    </row>
    <row r="51" spans="1:11">
      <c r="A51" s="337"/>
      <c r="B51" s="337"/>
      <c r="C51" s="6">
        <v>3122</v>
      </c>
      <c r="D51" s="68">
        <v>195</v>
      </c>
      <c r="E51" s="67"/>
      <c r="F51" s="68">
        <v>195</v>
      </c>
      <c r="G51" s="67"/>
      <c r="H51" s="339"/>
      <c r="I51" s="26"/>
      <c r="J51" s="72"/>
      <c r="K51" s="73"/>
    </row>
    <row r="52" spans="1:11">
      <c r="A52" s="337"/>
      <c r="B52" s="337"/>
      <c r="C52" s="6">
        <v>2214</v>
      </c>
      <c r="D52" s="68"/>
      <c r="E52" s="67">
        <v>128.1</v>
      </c>
      <c r="F52" s="68"/>
      <c r="G52" s="67">
        <v>128.1</v>
      </c>
      <c r="H52" s="24" t="s">
        <v>123</v>
      </c>
      <c r="I52" s="26"/>
      <c r="J52" s="72"/>
      <c r="K52" s="73"/>
    </row>
    <row r="53" spans="1:11">
      <c r="A53" s="337"/>
      <c r="B53" s="337"/>
      <c r="C53" s="6">
        <v>3111</v>
      </c>
      <c r="D53" s="68"/>
      <c r="E53" s="67">
        <v>7487.3</v>
      </c>
      <c r="F53" s="68"/>
      <c r="G53" s="67">
        <v>7487.3</v>
      </c>
      <c r="H53" s="24" t="s">
        <v>124</v>
      </c>
      <c r="I53" s="26"/>
      <c r="J53" s="72"/>
      <c r="K53" s="73"/>
    </row>
    <row r="54" spans="1:11">
      <c r="A54" s="337"/>
      <c r="B54" s="337"/>
      <c r="C54" s="6">
        <v>3111</v>
      </c>
      <c r="D54" s="68"/>
      <c r="E54" s="67">
        <v>200</v>
      </c>
      <c r="F54" s="68"/>
      <c r="G54" s="67">
        <v>200</v>
      </c>
      <c r="H54" s="24" t="s">
        <v>133</v>
      </c>
      <c r="I54" s="26"/>
      <c r="J54" s="72"/>
      <c r="K54" s="73"/>
    </row>
    <row r="55" spans="1:11">
      <c r="A55" s="337"/>
      <c r="B55" s="337"/>
      <c r="C55" s="6">
        <v>3111</v>
      </c>
      <c r="D55" s="68"/>
      <c r="E55" s="67"/>
      <c r="F55" s="68"/>
      <c r="G55" s="67">
        <v>1500</v>
      </c>
      <c r="H55" s="24" t="s">
        <v>133</v>
      </c>
      <c r="I55" s="26"/>
      <c r="J55" s="72"/>
      <c r="K55" s="73"/>
    </row>
    <row r="56" spans="1:11">
      <c r="A56" s="337"/>
      <c r="B56" s="337"/>
      <c r="C56" s="6">
        <v>2222</v>
      </c>
      <c r="D56" s="68"/>
      <c r="E56" s="67">
        <v>825.3</v>
      </c>
      <c r="F56" s="68"/>
      <c r="G56" s="67">
        <v>825.3</v>
      </c>
      <c r="H56" s="24" t="s">
        <v>125</v>
      </c>
      <c r="I56" s="26"/>
      <c r="J56" s="72"/>
      <c r="K56" s="73"/>
    </row>
    <row r="57" spans="1:11">
      <c r="A57" s="337"/>
      <c r="B57" s="337"/>
      <c r="C57" s="6">
        <v>2215</v>
      </c>
      <c r="D57" s="68"/>
      <c r="E57" s="67"/>
      <c r="F57" s="68"/>
      <c r="G57" s="310">
        <v>3000</v>
      </c>
      <c r="H57" s="311" t="s">
        <v>288</v>
      </c>
      <c r="I57" s="26"/>
      <c r="J57" s="72"/>
      <c r="K57" s="73"/>
    </row>
    <row r="58" spans="1:11">
      <c r="A58" s="338"/>
      <c r="B58" s="338"/>
      <c r="C58" s="3" t="s">
        <v>22</v>
      </c>
      <c r="D58" s="79">
        <f>+SUM(D46:D57)</f>
        <v>3878.3999999999996</v>
      </c>
      <c r="E58" s="79">
        <f>+SUM(E46:E57)</f>
        <v>8640.7000000000007</v>
      </c>
      <c r="F58" s="79">
        <f>+SUM(F46:F57)</f>
        <v>3878.3999999999996</v>
      </c>
      <c r="G58" s="79">
        <f>+SUM(G46:G57)</f>
        <v>13140.7</v>
      </c>
      <c r="H58" s="8"/>
      <c r="I58" s="26"/>
      <c r="J58" s="72"/>
      <c r="K58" s="73"/>
    </row>
    <row r="59" spans="1:11" s="70" customFormat="1" ht="14.45" customHeight="1">
      <c r="A59" s="333">
        <v>9</v>
      </c>
      <c r="B59" s="333" t="s">
        <v>98</v>
      </c>
      <c r="C59" s="6">
        <v>2511</v>
      </c>
      <c r="D59" s="84"/>
      <c r="E59" s="84">
        <v>10000</v>
      </c>
      <c r="F59" s="68"/>
      <c r="G59" s="68">
        <v>14000</v>
      </c>
      <c r="H59" s="8" t="s">
        <v>28</v>
      </c>
      <c r="K59" s="71"/>
    </row>
    <row r="60" spans="1:11" ht="14.45" customHeight="1">
      <c r="A60" s="335"/>
      <c r="B60" s="335"/>
      <c r="C60" s="3" t="s">
        <v>22</v>
      </c>
      <c r="D60" s="318">
        <f>+SUM(D59:D59)</f>
        <v>0</v>
      </c>
      <c r="E60" s="318">
        <f>+SUM(E59:E59)</f>
        <v>10000</v>
      </c>
      <c r="F60" s="79">
        <f>+SUM(F59:F59)</f>
        <v>0</v>
      </c>
      <c r="G60" s="79">
        <f>+SUM(G59:G59)</f>
        <v>14000</v>
      </c>
      <c r="H60" s="10"/>
      <c r="I60" s="26"/>
      <c r="J60" s="26"/>
      <c r="K60" s="9"/>
    </row>
    <row r="61" spans="1:11" s="70" customFormat="1" ht="14.45" customHeight="1">
      <c r="A61" s="333">
        <v>10</v>
      </c>
      <c r="B61" s="333" t="s">
        <v>136</v>
      </c>
      <c r="C61" s="6">
        <v>3111</v>
      </c>
      <c r="D61" s="68"/>
      <c r="E61" s="68">
        <v>10000</v>
      </c>
      <c r="F61" s="68"/>
      <c r="G61" s="68">
        <v>13000</v>
      </c>
      <c r="H61" s="8" t="s">
        <v>137</v>
      </c>
      <c r="K61" s="71"/>
    </row>
    <row r="62" spans="1:11" ht="14.45" customHeight="1">
      <c r="A62" s="335"/>
      <c r="B62" s="335"/>
      <c r="C62" s="3" t="s">
        <v>22</v>
      </c>
      <c r="D62" s="79">
        <f>+SUM(D61:D61)</f>
        <v>0</v>
      </c>
      <c r="E62" s="79">
        <f>+SUM(E61:E61)</f>
        <v>10000</v>
      </c>
      <c r="F62" s="79">
        <f>+SUM(F61:F61)</f>
        <v>0</v>
      </c>
      <c r="G62" s="79">
        <f>+SUM(G61:G61)</f>
        <v>13000</v>
      </c>
      <c r="H62" s="10"/>
      <c r="I62" s="26"/>
      <c r="J62" s="26"/>
      <c r="K62" s="9"/>
    </row>
    <row r="63" spans="1:11">
      <c r="A63" s="336">
        <v>11</v>
      </c>
      <c r="B63" s="336" t="s">
        <v>21</v>
      </c>
      <c r="C63" s="6">
        <v>2215</v>
      </c>
      <c r="D63" s="68">
        <v>7</v>
      </c>
      <c r="E63" s="67"/>
      <c r="F63" s="68">
        <v>7</v>
      </c>
      <c r="G63" s="67"/>
      <c r="H63" s="342" t="s">
        <v>6</v>
      </c>
      <c r="I63" s="26"/>
      <c r="J63" s="72"/>
      <c r="K63" s="73"/>
    </row>
    <row r="64" spans="1:11">
      <c r="A64" s="337"/>
      <c r="B64" s="337"/>
      <c r="C64" s="6">
        <v>2222</v>
      </c>
      <c r="D64" s="68">
        <v>31.4</v>
      </c>
      <c r="E64" s="67"/>
      <c r="F64" s="68">
        <v>31.4</v>
      </c>
      <c r="G64" s="67"/>
      <c r="H64" s="343"/>
      <c r="I64" s="26"/>
      <c r="J64" s="72"/>
      <c r="K64" s="73"/>
    </row>
    <row r="65" spans="1:11">
      <c r="A65" s="337"/>
      <c r="B65" s="337"/>
      <c r="C65" s="6">
        <v>2223</v>
      </c>
      <c r="D65" s="68">
        <v>4.2</v>
      </c>
      <c r="E65" s="67"/>
      <c r="F65" s="68">
        <v>4.2</v>
      </c>
      <c r="G65" s="67"/>
      <c r="H65" s="344"/>
      <c r="I65" s="26"/>
      <c r="J65" s="72"/>
      <c r="K65" s="73"/>
    </row>
    <row r="66" spans="1:11">
      <c r="A66" s="337"/>
      <c r="B66" s="337"/>
      <c r="C66" s="6">
        <v>2212</v>
      </c>
      <c r="D66" s="68"/>
      <c r="E66" s="67">
        <v>14.7</v>
      </c>
      <c r="F66" s="68"/>
      <c r="G66" s="67">
        <v>14.7</v>
      </c>
      <c r="H66" s="309" t="s">
        <v>107</v>
      </c>
      <c r="I66" s="26"/>
      <c r="J66" s="72"/>
      <c r="K66" s="73"/>
    </row>
    <row r="67" spans="1:11">
      <c r="A67" s="337"/>
      <c r="B67" s="337"/>
      <c r="C67" s="6">
        <v>2215</v>
      </c>
      <c r="D67" s="68"/>
      <c r="E67" s="67">
        <v>200</v>
      </c>
      <c r="F67" s="68"/>
      <c r="G67" s="67">
        <v>200</v>
      </c>
      <c r="H67" s="309" t="s">
        <v>108</v>
      </c>
      <c r="I67" s="26"/>
      <c r="J67" s="72"/>
      <c r="K67" s="73"/>
    </row>
    <row r="68" spans="1:11" ht="25.5">
      <c r="A68" s="337"/>
      <c r="B68" s="337"/>
      <c r="C68" s="6">
        <v>2222</v>
      </c>
      <c r="D68" s="68"/>
      <c r="E68" s="67">
        <v>20</v>
      </c>
      <c r="F68" s="68"/>
      <c r="G68" s="67">
        <v>20</v>
      </c>
      <c r="H68" s="309" t="s">
        <v>109</v>
      </c>
      <c r="I68" s="26"/>
      <c r="J68" s="72"/>
      <c r="K68" s="73"/>
    </row>
    <row r="69" spans="1:11">
      <c r="A69" s="338"/>
      <c r="B69" s="338"/>
      <c r="C69" s="3" t="s">
        <v>22</v>
      </c>
      <c r="D69" s="79">
        <f>+SUM(D63:D68)</f>
        <v>42.6</v>
      </c>
      <c r="E69" s="79">
        <f>+SUM(E63:E68)</f>
        <v>234.7</v>
      </c>
      <c r="F69" s="79">
        <f>+SUM(F63:F68)</f>
        <v>42.6</v>
      </c>
      <c r="G69" s="79">
        <f>+SUM(G63:G68)</f>
        <v>234.7</v>
      </c>
      <c r="H69" s="308"/>
      <c r="I69" s="26"/>
      <c r="J69" s="72"/>
      <c r="K69" s="73"/>
    </row>
    <row r="70" spans="1:11" ht="13.9" customHeight="1">
      <c r="A70" s="333">
        <v>12</v>
      </c>
      <c r="B70" s="336" t="s">
        <v>19</v>
      </c>
      <c r="C70" s="6">
        <v>2215</v>
      </c>
      <c r="D70" s="68">
        <f>2+2.2</f>
        <v>4.2</v>
      </c>
      <c r="E70" s="67"/>
      <c r="F70" s="68">
        <f>2+2.2</f>
        <v>4.2</v>
      </c>
      <c r="G70" s="67"/>
      <c r="H70" s="339" t="s">
        <v>6</v>
      </c>
    </row>
    <row r="71" spans="1:11">
      <c r="A71" s="334"/>
      <c r="B71" s="337"/>
      <c r="C71" s="6">
        <v>2222</v>
      </c>
      <c r="D71" s="68">
        <v>3.5</v>
      </c>
      <c r="E71" s="67"/>
      <c r="F71" s="68">
        <v>3.5</v>
      </c>
      <c r="G71" s="67"/>
      <c r="H71" s="339"/>
    </row>
    <row r="72" spans="1:11" ht="38.25">
      <c r="A72" s="334"/>
      <c r="B72" s="337"/>
      <c r="C72" s="6">
        <v>2215</v>
      </c>
      <c r="D72" s="68"/>
      <c r="E72" s="67">
        <v>495</v>
      </c>
      <c r="F72" s="68"/>
      <c r="G72" s="67">
        <v>495</v>
      </c>
      <c r="H72" s="24" t="s">
        <v>99</v>
      </c>
    </row>
    <row r="73" spans="1:11" ht="25.5">
      <c r="A73" s="334"/>
      <c r="B73" s="337"/>
      <c r="C73" s="6">
        <v>2215</v>
      </c>
      <c r="D73" s="68"/>
      <c r="E73" s="67">
        <v>500</v>
      </c>
      <c r="F73" s="68"/>
      <c r="G73" s="67">
        <v>500</v>
      </c>
      <c r="H73" s="24" t="s">
        <v>100</v>
      </c>
    </row>
    <row r="74" spans="1:11" ht="25.5">
      <c r="A74" s="334"/>
      <c r="B74" s="337"/>
      <c r="C74" s="6">
        <v>2215</v>
      </c>
      <c r="D74" s="68"/>
      <c r="E74" s="67">
        <v>2.2000000000000002</v>
      </c>
      <c r="F74" s="68"/>
      <c r="G74" s="67">
        <v>2.2000000000000002</v>
      </c>
      <c r="H74" s="24" t="s">
        <v>101</v>
      </c>
    </row>
    <row r="75" spans="1:11" ht="25.5">
      <c r="A75" s="334"/>
      <c r="B75" s="337"/>
      <c r="C75" s="6">
        <v>2215</v>
      </c>
      <c r="D75" s="68"/>
      <c r="E75" s="67">
        <v>8.8000000000000007</v>
      </c>
      <c r="F75" s="68"/>
      <c r="G75" s="67">
        <v>8.8000000000000007</v>
      </c>
      <c r="H75" s="24" t="s">
        <v>102</v>
      </c>
    </row>
    <row r="76" spans="1:11">
      <c r="A76" s="334"/>
      <c r="B76" s="337"/>
      <c r="C76" s="6">
        <v>2215</v>
      </c>
      <c r="D76" s="68"/>
      <c r="E76" s="67">
        <v>2.4</v>
      </c>
      <c r="F76" s="68"/>
      <c r="G76" s="67">
        <v>2.4</v>
      </c>
      <c r="H76" s="24" t="s">
        <v>103</v>
      </c>
    </row>
    <row r="77" spans="1:11">
      <c r="A77" s="334"/>
      <c r="B77" s="337"/>
      <c r="C77" s="6">
        <v>2215</v>
      </c>
      <c r="D77" s="68"/>
      <c r="E77" s="67">
        <v>7.5</v>
      </c>
      <c r="F77" s="68"/>
      <c r="G77" s="67">
        <v>7.5</v>
      </c>
      <c r="H77" s="24" t="s">
        <v>23</v>
      </c>
    </row>
    <row r="78" spans="1:11">
      <c r="A78" s="334"/>
      <c r="B78" s="337"/>
      <c r="C78" s="6">
        <v>2215</v>
      </c>
      <c r="D78" s="68"/>
      <c r="E78" s="67">
        <v>1500</v>
      </c>
      <c r="F78" s="68"/>
      <c r="G78" s="67">
        <v>1500</v>
      </c>
      <c r="H78" s="24" t="s">
        <v>104</v>
      </c>
    </row>
    <row r="79" spans="1:11">
      <c r="A79" s="334"/>
      <c r="B79" s="337"/>
      <c r="C79" s="6">
        <v>2215</v>
      </c>
      <c r="D79" s="68"/>
      <c r="E79" s="67">
        <v>1500</v>
      </c>
      <c r="F79" s="68"/>
      <c r="G79" s="67">
        <v>1500</v>
      </c>
      <c r="H79" s="24" t="s">
        <v>105</v>
      </c>
    </row>
    <row r="80" spans="1:11">
      <c r="A80" s="334"/>
      <c r="B80" s="337"/>
      <c r="C80" s="6">
        <v>2215</v>
      </c>
      <c r="D80" s="68"/>
      <c r="E80" s="67">
        <v>500</v>
      </c>
      <c r="F80" s="68"/>
      <c r="G80" s="67">
        <v>500</v>
      </c>
      <c r="H80" s="8" t="s">
        <v>106</v>
      </c>
    </row>
    <row r="81" spans="1:11">
      <c r="A81" s="335"/>
      <c r="B81" s="338"/>
      <c r="C81" s="3" t="s">
        <v>22</v>
      </c>
      <c r="D81" s="79">
        <f>+SUM(D70:D80)</f>
        <v>7.7</v>
      </c>
      <c r="E81" s="79">
        <f>+SUM(E70:E80)</f>
        <v>4515.8999999999996</v>
      </c>
      <c r="F81" s="79">
        <f>+SUM(F70:F80)</f>
        <v>7.7</v>
      </c>
      <c r="G81" s="79">
        <f>+SUM(G70:G80)</f>
        <v>4515.8999999999996</v>
      </c>
      <c r="H81" s="8"/>
    </row>
    <row r="82" spans="1:11" ht="25.5">
      <c r="A82" s="333">
        <v>13</v>
      </c>
      <c r="B82" s="333" t="s">
        <v>10</v>
      </c>
      <c r="C82" s="6">
        <v>2214</v>
      </c>
      <c r="D82" s="68">
        <v>127.1</v>
      </c>
      <c r="E82" s="67"/>
      <c r="F82" s="68">
        <v>127.1</v>
      </c>
      <c r="G82" s="67"/>
      <c r="H82" s="24" t="s">
        <v>6</v>
      </c>
      <c r="J82" s="26"/>
      <c r="K82" s="9"/>
    </row>
    <row r="83" spans="1:11">
      <c r="A83" s="334"/>
      <c r="B83" s="334"/>
      <c r="C83" s="6">
        <v>2222</v>
      </c>
      <c r="D83" s="68">
        <v>944.6</v>
      </c>
      <c r="E83" s="67"/>
      <c r="F83" s="68">
        <v>944.6</v>
      </c>
      <c r="G83" s="67"/>
      <c r="H83" s="8" t="s">
        <v>126</v>
      </c>
      <c r="J83" s="26"/>
      <c r="K83" s="9"/>
    </row>
    <row r="84" spans="1:11">
      <c r="A84" s="334"/>
      <c r="B84" s="334"/>
      <c r="C84" s="6">
        <v>2215</v>
      </c>
      <c r="D84" s="68"/>
      <c r="E84" s="67">
        <v>100</v>
      </c>
      <c r="F84" s="68"/>
      <c r="G84" s="67">
        <v>100</v>
      </c>
      <c r="H84" s="8" t="s">
        <v>265</v>
      </c>
      <c r="J84" s="26"/>
      <c r="K84" s="9"/>
    </row>
    <row r="85" spans="1:11">
      <c r="A85" s="334"/>
      <c r="B85" s="334"/>
      <c r="C85" s="6">
        <v>2222</v>
      </c>
      <c r="D85" s="68"/>
      <c r="E85" s="67">
        <v>800</v>
      </c>
      <c r="F85" s="68"/>
      <c r="G85" s="67">
        <v>800</v>
      </c>
      <c r="H85" s="8" t="s">
        <v>125</v>
      </c>
      <c r="J85" s="26"/>
      <c r="K85" s="9"/>
    </row>
    <row r="86" spans="1:11">
      <c r="A86" s="334"/>
      <c r="B86" s="334"/>
      <c r="C86" s="6">
        <v>2223</v>
      </c>
      <c r="D86" s="68"/>
      <c r="E86" s="67">
        <v>37.6</v>
      </c>
      <c r="F86" s="68"/>
      <c r="G86" s="67">
        <v>37.6</v>
      </c>
      <c r="H86" s="8" t="s">
        <v>266</v>
      </c>
      <c r="J86" s="26"/>
      <c r="K86" s="9"/>
    </row>
    <row r="87" spans="1:11">
      <c r="A87" s="334"/>
      <c r="B87" s="334"/>
      <c r="C87" s="6">
        <v>3111</v>
      </c>
      <c r="D87" s="68"/>
      <c r="E87" s="67">
        <v>1672.9</v>
      </c>
      <c r="F87" s="68"/>
      <c r="G87" s="67">
        <v>1672.9</v>
      </c>
      <c r="H87" s="8" t="s">
        <v>267</v>
      </c>
      <c r="J87" s="26"/>
      <c r="K87" s="9"/>
    </row>
    <row r="88" spans="1:11">
      <c r="A88" s="334"/>
      <c r="B88" s="334"/>
      <c r="C88" s="6">
        <v>3112</v>
      </c>
      <c r="D88" s="68"/>
      <c r="E88" s="67">
        <v>346</v>
      </c>
      <c r="F88" s="68"/>
      <c r="G88" s="67">
        <v>346</v>
      </c>
      <c r="H88" s="8" t="s">
        <v>268</v>
      </c>
      <c r="J88" s="26"/>
      <c r="K88" s="9"/>
    </row>
    <row r="89" spans="1:11">
      <c r="A89" s="334"/>
      <c r="B89" s="334"/>
      <c r="C89" s="6">
        <v>3113</v>
      </c>
      <c r="D89" s="68"/>
      <c r="E89" s="67"/>
      <c r="F89" s="68"/>
      <c r="G89" s="67">
        <v>1484.6</v>
      </c>
      <c r="H89" s="8" t="s">
        <v>280</v>
      </c>
      <c r="J89" s="26"/>
      <c r="K89" s="9"/>
    </row>
    <row r="90" spans="1:11">
      <c r="A90" s="335"/>
      <c r="B90" s="335"/>
      <c r="C90" s="3" t="s">
        <v>22</v>
      </c>
      <c r="D90" s="79">
        <f>+SUM(D82:D88)</f>
        <v>1071.7</v>
      </c>
      <c r="E90" s="79">
        <f>+SUM(E82:E88)</f>
        <v>2956.5</v>
      </c>
      <c r="F90" s="79">
        <f>+SUM(F82:F88)</f>
        <v>1071.7</v>
      </c>
      <c r="G90" s="79">
        <f>+SUM(G82:G89)</f>
        <v>4441.1000000000004</v>
      </c>
      <c r="H90" s="69"/>
      <c r="J90" s="26"/>
      <c r="K90" s="9"/>
    </row>
    <row r="91" spans="1:11" ht="13.9" customHeight="1">
      <c r="A91" s="333">
        <v>14</v>
      </c>
      <c r="B91" s="333" t="s">
        <v>9</v>
      </c>
      <c r="C91" s="6">
        <v>2222</v>
      </c>
      <c r="D91" s="68">
        <v>630</v>
      </c>
      <c r="E91" s="323"/>
      <c r="F91" s="68">
        <v>630</v>
      </c>
      <c r="G91" s="323"/>
      <c r="H91" s="339" t="s">
        <v>6</v>
      </c>
      <c r="J91" s="26"/>
      <c r="K91" s="9"/>
    </row>
    <row r="92" spans="1:11">
      <c r="A92" s="334"/>
      <c r="B92" s="334"/>
      <c r="C92" s="6">
        <v>3112</v>
      </c>
      <c r="D92" s="68">
        <v>178.5</v>
      </c>
      <c r="E92" s="323"/>
      <c r="F92" s="68">
        <v>178.5</v>
      </c>
      <c r="G92" s="323"/>
      <c r="H92" s="339"/>
      <c r="J92" s="26"/>
      <c r="K92" s="9"/>
    </row>
    <row r="93" spans="1:11">
      <c r="A93" s="334"/>
      <c r="B93" s="334"/>
      <c r="C93" s="6">
        <v>3111</v>
      </c>
      <c r="D93" s="68">
        <v>3224.5</v>
      </c>
      <c r="E93" s="323"/>
      <c r="F93" s="68">
        <v>3224.5</v>
      </c>
      <c r="G93" s="323"/>
      <c r="H93" s="339"/>
      <c r="J93" s="26"/>
      <c r="K93" s="9"/>
    </row>
    <row r="94" spans="1:11">
      <c r="A94" s="334"/>
      <c r="B94" s="334"/>
      <c r="C94" s="6">
        <v>2215</v>
      </c>
      <c r="D94" s="68">
        <v>428.5</v>
      </c>
      <c r="E94" s="323"/>
      <c r="F94" s="68">
        <v>428.5</v>
      </c>
      <c r="G94" s="323"/>
      <c r="H94" s="339"/>
      <c r="J94" s="26"/>
      <c r="K94" s="9"/>
    </row>
    <row r="95" spans="1:11">
      <c r="A95" s="334"/>
      <c r="B95" s="334"/>
      <c r="C95" s="6">
        <v>2221</v>
      </c>
      <c r="D95" s="68">
        <v>9.9</v>
      </c>
      <c r="E95" s="323"/>
      <c r="F95" s="68">
        <v>9.9</v>
      </c>
      <c r="G95" s="323"/>
      <c r="H95" s="339"/>
      <c r="J95" s="26"/>
      <c r="K95" s="9"/>
    </row>
    <row r="96" spans="1:11">
      <c r="A96" s="334"/>
      <c r="B96" s="334"/>
      <c r="C96" s="6">
        <v>2214</v>
      </c>
      <c r="D96" s="68">
        <v>104.7</v>
      </c>
      <c r="E96" s="323"/>
      <c r="F96" s="68">
        <v>104.7</v>
      </c>
      <c r="G96" s="323"/>
      <c r="H96" s="339"/>
      <c r="J96" s="26"/>
      <c r="K96" s="9"/>
    </row>
    <row r="97" spans="1:11">
      <c r="A97" s="334"/>
      <c r="B97" s="334"/>
      <c r="C97" s="6">
        <v>2222</v>
      </c>
      <c r="D97" s="68"/>
      <c r="E97" s="323"/>
      <c r="F97" s="68">
        <v>1000</v>
      </c>
      <c r="G97" s="323"/>
      <c r="H97" s="24" t="s">
        <v>281</v>
      </c>
      <c r="J97" s="26"/>
      <c r="K97" s="9"/>
    </row>
    <row r="98" spans="1:11">
      <c r="A98" s="334"/>
      <c r="B98" s="334"/>
      <c r="C98" s="6">
        <v>2222</v>
      </c>
      <c r="D98" s="68"/>
      <c r="E98" s="323"/>
      <c r="F98" s="68"/>
      <c r="G98" s="312">
        <v>2000</v>
      </c>
      <c r="H98" s="311" t="s">
        <v>282</v>
      </c>
      <c r="J98" s="26"/>
      <c r="K98" s="9"/>
    </row>
    <row r="99" spans="1:11">
      <c r="A99" s="334"/>
      <c r="B99" s="334"/>
      <c r="C99" s="6">
        <v>2222</v>
      </c>
      <c r="D99" s="68"/>
      <c r="E99" s="323"/>
      <c r="F99" s="68"/>
      <c r="G99" s="323">
        <v>1000</v>
      </c>
      <c r="H99" s="24" t="s">
        <v>283</v>
      </c>
      <c r="J99" s="26"/>
      <c r="K99" s="9"/>
    </row>
    <row r="100" spans="1:11">
      <c r="A100" s="335"/>
      <c r="B100" s="335"/>
      <c r="C100" s="3" t="s">
        <v>22</v>
      </c>
      <c r="D100" s="79">
        <f>+SUM(D91:D99)</f>
        <v>4576.0999999999995</v>
      </c>
      <c r="E100" s="79">
        <f>+SUM(E91:E99)</f>
        <v>0</v>
      </c>
      <c r="F100" s="79">
        <f>+SUM(F91:F99)</f>
        <v>5576.0999999999995</v>
      </c>
      <c r="G100" s="79">
        <f>+SUM(G91:G99)</f>
        <v>3000</v>
      </c>
      <c r="H100" s="8"/>
      <c r="J100" s="26"/>
      <c r="K100" s="9"/>
    </row>
    <row r="101" spans="1:11" s="70" customFormat="1" ht="13.9" customHeight="1">
      <c r="A101" s="333">
        <v>15</v>
      </c>
      <c r="B101" s="333" t="s">
        <v>135</v>
      </c>
      <c r="C101" s="6">
        <v>25111</v>
      </c>
      <c r="D101" s="68"/>
      <c r="E101" s="68">
        <v>25000</v>
      </c>
      <c r="F101" s="68"/>
      <c r="G101" s="68">
        <f>22000+8000+8000</f>
        <v>38000</v>
      </c>
      <c r="H101" s="8" t="s">
        <v>305</v>
      </c>
      <c r="K101" s="71"/>
    </row>
    <row r="102" spans="1:11">
      <c r="A102" s="335"/>
      <c r="B102" s="335"/>
      <c r="C102" s="3" t="s">
        <v>22</v>
      </c>
      <c r="D102" s="79">
        <f>+SUM(D101:D101)</f>
        <v>0</v>
      </c>
      <c r="E102" s="79">
        <f>+SUM(E101:E101)</f>
        <v>25000</v>
      </c>
      <c r="F102" s="79">
        <f>+SUM(F101:F101)</f>
        <v>0</v>
      </c>
      <c r="G102" s="79">
        <f>+SUM(G101:G101)</f>
        <v>38000</v>
      </c>
      <c r="H102" s="10"/>
      <c r="I102" s="26"/>
      <c r="J102" s="26"/>
      <c r="K102" s="9"/>
    </row>
    <row r="103" spans="1:11" s="70" customFormat="1" ht="13.9" customHeight="1">
      <c r="A103" s="333">
        <v>16</v>
      </c>
      <c r="B103" s="333" t="s">
        <v>127</v>
      </c>
      <c r="C103" s="6">
        <v>2222</v>
      </c>
      <c r="D103" s="68"/>
      <c r="E103" s="68">
        <v>4.7</v>
      </c>
      <c r="F103" s="68"/>
      <c r="G103" s="68">
        <v>4.7</v>
      </c>
      <c r="H103" s="8" t="s">
        <v>128</v>
      </c>
      <c r="K103" s="71"/>
    </row>
    <row r="104" spans="1:11">
      <c r="A104" s="335"/>
      <c r="B104" s="335"/>
      <c r="C104" s="3" t="s">
        <v>22</v>
      </c>
      <c r="D104" s="79">
        <f>+SUM(D103:D103)</f>
        <v>0</v>
      </c>
      <c r="E104" s="79">
        <f>+SUM(E103:E103)</f>
        <v>4.7</v>
      </c>
      <c r="F104" s="79">
        <f>+SUM(F103:F103)</f>
        <v>0</v>
      </c>
      <c r="G104" s="79">
        <f>+SUM(G103:G103)</f>
        <v>4.7</v>
      </c>
      <c r="H104" s="10"/>
      <c r="I104" s="26"/>
      <c r="J104" s="26"/>
      <c r="K104" s="9"/>
    </row>
    <row r="105" spans="1:11" ht="13.15" customHeight="1">
      <c r="A105" s="333">
        <v>18</v>
      </c>
      <c r="B105" s="333" t="s">
        <v>24</v>
      </c>
      <c r="C105" s="6">
        <v>2215</v>
      </c>
      <c r="D105" s="68">
        <v>797.6</v>
      </c>
      <c r="E105" s="67"/>
      <c r="F105" s="68">
        <v>797.6</v>
      </c>
      <c r="G105" s="67"/>
      <c r="H105" s="343" t="s">
        <v>6</v>
      </c>
      <c r="J105" s="26"/>
      <c r="K105" s="9"/>
    </row>
    <row r="106" spans="1:11">
      <c r="A106" s="334"/>
      <c r="B106" s="334"/>
      <c r="C106" s="6">
        <v>3112</v>
      </c>
      <c r="D106" s="68">
        <v>585.20000000000005</v>
      </c>
      <c r="E106" s="67"/>
      <c r="F106" s="68">
        <v>585.20000000000005</v>
      </c>
      <c r="G106" s="67"/>
      <c r="H106" s="344"/>
      <c r="J106" s="26"/>
      <c r="K106" s="9"/>
    </row>
    <row r="107" spans="1:11">
      <c r="A107" s="334"/>
      <c r="B107" s="334"/>
      <c r="C107" s="6">
        <v>3112</v>
      </c>
      <c r="D107" s="68">
        <v>1550</v>
      </c>
      <c r="E107" s="67"/>
      <c r="F107" s="68">
        <v>1550</v>
      </c>
      <c r="G107" s="67"/>
      <c r="H107" s="8" t="s">
        <v>110</v>
      </c>
      <c r="J107" s="26"/>
      <c r="K107" s="9"/>
    </row>
    <row r="108" spans="1:11">
      <c r="A108" s="334"/>
      <c r="B108" s="334"/>
      <c r="C108" s="6">
        <v>2223</v>
      </c>
      <c r="D108" s="68">
        <v>350</v>
      </c>
      <c r="E108" s="67"/>
      <c r="F108" s="68">
        <v>350</v>
      </c>
      <c r="G108" s="67"/>
      <c r="H108" s="8" t="s">
        <v>111</v>
      </c>
      <c r="J108" s="26"/>
      <c r="K108" s="9"/>
    </row>
    <row r="109" spans="1:11">
      <c r="A109" s="334"/>
      <c r="B109" s="334"/>
      <c r="C109" s="6">
        <v>2221</v>
      </c>
      <c r="D109" s="68"/>
      <c r="E109" s="67">
        <v>100</v>
      </c>
      <c r="F109" s="68"/>
      <c r="G109" s="67">
        <v>100</v>
      </c>
      <c r="H109" s="8" t="s">
        <v>112</v>
      </c>
      <c r="J109" s="26"/>
      <c r="K109" s="9"/>
    </row>
    <row r="110" spans="1:11">
      <c r="A110" s="334"/>
      <c r="B110" s="334"/>
      <c r="C110" s="6">
        <v>2215</v>
      </c>
      <c r="D110" s="68"/>
      <c r="E110" s="67">
        <v>2000</v>
      </c>
      <c r="F110" s="68"/>
      <c r="G110" s="67">
        <v>2000</v>
      </c>
      <c r="H110" s="8" t="s">
        <v>113</v>
      </c>
      <c r="J110" s="26"/>
      <c r="K110" s="9"/>
    </row>
    <row r="111" spans="1:11">
      <c r="A111" s="335"/>
      <c r="B111" s="335"/>
      <c r="C111" s="3" t="s">
        <v>22</v>
      </c>
      <c r="D111" s="79">
        <f>+SUM(D105:D110)</f>
        <v>3282.8</v>
      </c>
      <c r="E111" s="79">
        <f>+SUM(E105:E110)</f>
        <v>2100</v>
      </c>
      <c r="F111" s="79">
        <f>+SUM(F105:F110)</f>
        <v>3282.8</v>
      </c>
      <c r="G111" s="79">
        <f>+SUM(G105:G110)</f>
        <v>2100</v>
      </c>
      <c r="H111" s="8"/>
      <c r="J111" s="26"/>
      <c r="K111" s="9"/>
    </row>
    <row r="112" spans="1:11" ht="25.5">
      <c r="A112" s="333">
        <v>19</v>
      </c>
      <c r="B112" s="333" t="s">
        <v>12</v>
      </c>
      <c r="C112" s="6">
        <v>3112</v>
      </c>
      <c r="D112" s="68">
        <v>15</v>
      </c>
      <c r="E112" s="79"/>
      <c r="F112" s="68">
        <v>15</v>
      </c>
      <c r="G112" s="79"/>
      <c r="H112" s="8" t="s">
        <v>6</v>
      </c>
      <c r="J112" s="26"/>
      <c r="K112" s="9"/>
    </row>
    <row r="113" spans="1:11" ht="22.9" customHeight="1">
      <c r="A113" s="334"/>
      <c r="B113" s="334"/>
      <c r="C113" s="6">
        <v>3112</v>
      </c>
      <c r="D113" s="68">
        <v>387.5</v>
      </c>
      <c r="E113" s="79"/>
      <c r="F113" s="68">
        <v>387.5</v>
      </c>
      <c r="G113" s="79"/>
      <c r="H113" s="342" t="s">
        <v>254</v>
      </c>
      <c r="J113" s="26"/>
      <c r="K113" s="9"/>
    </row>
    <row r="114" spans="1:11" ht="22.9" customHeight="1">
      <c r="A114" s="334"/>
      <c r="B114" s="334"/>
      <c r="C114" s="6">
        <v>3112</v>
      </c>
      <c r="D114" s="68"/>
      <c r="E114" s="68">
        <v>320</v>
      </c>
      <c r="F114" s="68"/>
      <c r="G114" s="68">
        <v>320</v>
      </c>
      <c r="H114" s="344"/>
      <c r="I114" s="26"/>
      <c r="J114" s="26"/>
      <c r="K114" s="9"/>
    </row>
    <row r="115" spans="1:11">
      <c r="A115" s="334"/>
      <c r="B115" s="334"/>
      <c r="C115" s="6">
        <v>2111</v>
      </c>
      <c r="D115" s="68"/>
      <c r="E115" s="68">
        <v>552.6</v>
      </c>
      <c r="F115" s="68"/>
      <c r="G115" s="68">
        <v>552.6</v>
      </c>
      <c r="H115" s="342" t="s">
        <v>138</v>
      </c>
      <c r="I115" s="26"/>
      <c r="J115" s="26"/>
      <c r="K115" s="9"/>
    </row>
    <row r="116" spans="1:11">
      <c r="A116" s="334"/>
      <c r="B116" s="334"/>
      <c r="C116" s="6">
        <v>2121</v>
      </c>
      <c r="D116" s="68"/>
      <c r="E116" s="68">
        <v>72</v>
      </c>
      <c r="F116" s="68"/>
      <c r="G116" s="68">
        <v>72</v>
      </c>
      <c r="H116" s="344"/>
      <c r="I116" s="9"/>
      <c r="J116" s="26"/>
      <c r="K116" s="9"/>
    </row>
    <row r="117" spans="1:11">
      <c r="A117" s="334"/>
      <c r="B117" s="334"/>
      <c r="C117" s="6">
        <v>3112</v>
      </c>
      <c r="D117" s="68"/>
      <c r="E117" s="68">
        <v>7</v>
      </c>
      <c r="F117" s="68"/>
      <c r="G117" s="68">
        <v>7</v>
      </c>
      <c r="H117" s="307" t="s">
        <v>120</v>
      </c>
      <c r="J117" s="26"/>
      <c r="K117" s="9"/>
    </row>
    <row r="118" spans="1:11">
      <c r="A118" s="334"/>
      <c r="B118" s="334"/>
      <c r="C118" s="6">
        <v>3112</v>
      </c>
      <c r="D118" s="68"/>
      <c r="E118" s="68">
        <v>64</v>
      </c>
      <c r="F118" s="68"/>
      <c r="G118" s="68">
        <v>64</v>
      </c>
      <c r="H118" s="307" t="s">
        <v>121</v>
      </c>
      <c r="J118" s="26"/>
      <c r="K118" s="9"/>
    </row>
    <row r="119" spans="1:11">
      <c r="A119" s="334"/>
      <c r="B119" s="334"/>
      <c r="C119" s="6">
        <v>3112</v>
      </c>
      <c r="D119" s="68"/>
      <c r="E119" s="68">
        <v>11.5</v>
      </c>
      <c r="F119" s="68"/>
      <c r="G119" s="68">
        <v>11.5</v>
      </c>
      <c r="H119" s="307" t="s">
        <v>122</v>
      </c>
      <c r="J119" s="26"/>
      <c r="K119" s="9"/>
    </row>
    <row r="120" spans="1:11">
      <c r="A120" s="335">
        <v>14</v>
      </c>
      <c r="B120" s="335"/>
      <c r="C120" s="3" t="s">
        <v>22</v>
      </c>
      <c r="D120" s="79">
        <f>+SUM(D112:D119)</f>
        <v>402.5</v>
      </c>
      <c r="E120" s="79">
        <f>+SUM(E112:E119)</f>
        <v>1027.0999999999999</v>
      </c>
      <c r="F120" s="79">
        <f>+SUM(F112:F119)</f>
        <v>402.5</v>
      </c>
      <c r="G120" s="79">
        <f>+SUM(G112:G119)</f>
        <v>1027.0999999999999</v>
      </c>
      <c r="H120" s="8"/>
      <c r="J120" s="26"/>
      <c r="K120" s="9"/>
    </row>
    <row r="121" spans="1:11" ht="25.5">
      <c r="A121" s="333">
        <v>20</v>
      </c>
      <c r="B121" s="333" t="s">
        <v>11</v>
      </c>
      <c r="C121" s="6">
        <v>2222</v>
      </c>
      <c r="D121" s="68">
        <v>58</v>
      </c>
      <c r="E121" s="67"/>
      <c r="F121" s="68">
        <v>58</v>
      </c>
      <c r="G121" s="67"/>
      <c r="H121" s="8" t="s">
        <v>6</v>
      </c>
      <c r="J121" s="26"/>
      <c r="K121" s="9"/>
    </row>
    <row r="122" spans="1:11">
      <c r="A122" s="334"/>
      <c r="B122" s="334"/>
      <c r="C122" s="3" t="s">
        <v>22</v>
      </c>
      <c r="D122" s="79">
        <f>+SUM(D121)</f>
        <v>58</v>
      </c>
      <c r="E122" s="79">
        <f>+SUM(E121)</f>
        <v>0</v>
      </c>
      <c r="F122" s="79">
        <f>+SUM(F121)</f>
        <v>58</v>
      </c>
      <c r="G122" s="79">
        <f>+SUM(G121)</f>
        <v>0</v>
      </c>
      <c r="H122" s="8"/>
      <c r="J122" s="26"/>
      <c r="K122" s="9"/>
    </row>
    <row r="123" spans="1:11" ht="13.9" customHeight="1">
      <c r="A123" s="347">
        <v>21</v>
      </c>
      <c r="B123" s="347" t="s">
        <v>284</v>
      </c>
      <c r="C123" s="6">
        <v>2211</v>
      </c>
      <c r="D123" s="84"/>
      <c r="E123" s="84"/>
      <c r="F123" s="68"/>
      <c r="G123" s="68">
        <v>150</v>
      </c>
      <c r="H123" s="342" t="s">
        <v>286</v>
      </c>
      <c r="J123" s="26"/>
      <c r="K123" s="313"/>
    </row>
    <row r="124" spans="1:11">
      <c r="A124" s="347"/>
      <c r="B124" s="347"/>
      <c r="C124" s="6">
        <v>2218</v>
      </c>
      <c r="D124" s="84"/>
      <c r="E124" s="85"/>
      <c r="F124" s="68"/>
      <c r="G124" s="68">
        <v>150</v>
      </c>
      <c r="H124" s="344"/>
      <c r="J124" s="26"/>
      <c r="K124" s="313"/>
    </row>
    <row r="125" spans="1:11">
      <c r="A125" s="347"/>
      <c r="B125" s="347"/>
      <c r="C125" s="3" t="s">
        <v>22</v>
      </c>
      <c r="D125" s="318">
        <f>+SUM(D124)</f>
        <v>0</v>
      </c>
      <c r="E125" s="318">
        <f>+SUM(E124)</f>
        <v>0</v>
      </c>
      <c r="F125" s="79">
        <f>+SUM(F123:F124)</f>
        <v>0</v>
      </c>
      <c r="G125" s="79">
        <f>+SUM(G123:G124)</f>
        <v>300</v>
      </c>
      <c r="H125" s="8"/>
      <c r="J125" s="26"/>
      <c r="K125" s="9"/>
    </row>
    <row r="126" spans="1:11" ht="13.9" customHeight="1">
      <c r="A126" s="336">
        <v>22</v>
      </c>
      <c r="B126" s="336" t="s">
        <v>13</v>
      </c>
      <c r="C126" s="6">
        <v>2215</v>
      </c>
      <c r="D126" s="84">
        <v>263.39999999999998</v>
      </c>
      <c r="E126" s="85"/>
      <c r="F126" s="68">
        <v>263.39999999999998</v>
      </c>
      <c r="G126" s="67"/>
      <c r="H126" s="345" t="s">
        <v>6</v>
      </c>
    </row>
    <row r="127" spans="1:11">
      <c r="A127" s="337"/>
      <c r="B127" s="337"/>
      <c r="C127" s="6">
        <v>2221</v>
      </c>
      <c r="D127" s="84">
        <v>17.600000000000001</v>
      </c>
      <c r="E127" s="85"/>
      <c r="F127" s="68">
        <v>17.600000000000001</v>
      </c>
      <c r="G127" s="67"/>
      <c r="H127" s="348"/>
      <c r="K127" s="25"/>
    </row>
    <row r="128" spans="1:11">
      <c r="A128" s="337"/>
      <c r="B128" s="337"/>
      <c r="C128" s="6">
        <v>2222</v>
      </c>
      <c r="D128" s="84">
        <v>16.8</v>
      </c>
      <c r="E128" s="85"/>
      <c r="F128" s="68">
        <v>16.8</v>
      </c>
      <c r="G128" s="67"/>
      <c r="H128" s="348"/>
      <c r="K128" s="25"/>
    </row>
    <row r="129" spans="1:11">
      <c r="A129" s="337"/>
      <c r="B129" s="337"/>
      <c r="C129" s="6">
        <v>3112</v>
      </c>
      <c r="D129" s="84">
        <v>33.799999999999997</v>
      </c>
      <c r="E129" s="85"/>
      <c r="F129" s="68">
        <v>33.799999999999997</v>
      </c>
      <c r="G129" s="67"/>
      <c r="H129" s="346"/>
      <c r="K129" s="25"/>
    </row>
    <row r="130" spans="1:11">
      <c r="A130" s="337"/>
      <c r="B130" s="337"/>
      <c r="C130" s="6">
        <v>2224</v>
      </c>
      <c r="D130" s="84"/>
      <c r="E130" s="85"/>
      <c r="F130" s="68">
        <v>505.6</v>
      </c>
      <c r="G130" s="67"/>
      <c r="H130" s="10" t="s">
        <v>287</v>
      </c>
      <c r="K130" s="25"/>
    </row>
    <row r="131" spans="1:11">
      <c r="A131" s="337"/>
      <c r="B131" s="337"/>
      <c r="C131" s="6">
        <v>2221</v>
      </c>
      <c r="D131" s="84"/>
      <c r="E131" s="85">
        <v>102.9</v>
      </c>
      <c r="F131" s="68"/>
      <c r="G131" s="67">
        <v>102.9</v>
      </c>
      <c r="H131" s="8" t="s">
        <v>114</v>
      </c>
      <c r="K131" s="25"/>
    </row>
    <row r="132" spans="1:11">
      <c r="A132" s="337"/>
      <c r="B132" s="337"/>
      <c r="C132" s="6">
        <v>2215</v>
      </c>
      <c r="D132" s="84"/>
      <c r="E132" s="85">
        <v>600</v>
      </c>
      <c r="F132" s="68"/>
      <c r="G132" s="67">
        <v>300</v>
      </c>
      <c r="H132" s="8" t="s">
        <v>115</v>
      </c>
      <c r="K132" s="25"/>
    </row>
    <row r="133" spans="1:11" ht="25.5">
      <c r="A133" s="337"/>
      <c r="B133" s="337"/>
      <c r="C133" s="6">
        <v>2222</v>
      </c>
      <c r="D133" s="84"/>
      <c r="E133" s="85">
        <v>855.7</v>
      </c>
      <c r="F133" s="68"/>
      <c r="G133" s="67">
        <v>855.7</v>
      </c>
      <c r="H133" s="8" t="s">
        <v>142</v>
      </c>
      <c r="K133" s="25"/>
    </row>
    <row r="134" spans="1:11">
      <c r="A134" s="337"/>
      <c r="B134" s="337"/>
      <c r="C134" s="6">
        <v>3112</v>
      </c>
      <c r="D134" s="84"/>
      <c r="E134" s="85">
        <v>200</v>
      </c>
      <c r="F134" s="68"/>
      <c r="G134" s="67">
        <v>200</v>
      </c>
      <c r="H134" s="8" t="s">
        <v>141</v>
      </c>
      <c r="K134" s="25"/>
    </row>
    <row r="135" spans="1:11">
      <c r="A135" s="337"/>
      <c r="B135" s="337"/>
      <c r="C135" s="6">
        <v>22311200</v>
      </c>
      <c r="D135" s="84"/>
      <c r="E135" s="85"/>
      <c r="F135" s="68"/>
      <c r="G135" s="67">
        <v>1434.6</v>
      </c>
      <c r="H135" s="8" t="s">
        <v>285</v>
      </c>
      <c r="K135" s="25"/>
    </row>
    <row r="136" spans="1:11" ht="25.5">
      <c r="A136" s="337"/>
      <c r="B136" s="337"/>
      <c r="C136" s="6">
        <v>2215</v>
      </c>
      <c r="D136" s="84"/>
      <c r="E136" s="85">
        <v>1064</v>
      </c>
      <c r="F136" s="68"/>
      <c r="G136" s="67">
        <v>798.2</v>
      </c>
      <c r="H136" s="8" t="s">
        <v>143</v>
      </c>
      <c r="K136" s="25"/>
    </row>
    <row r="137" spans="1:11">
      <c r="A137" s="338"/>
      <c r="B137" s="338"/>
      <c r="C137" s="3" t="s">
        <v>22</v>
      </c>
      <c r="D137" s="318">
        <f>+SUM(D126:D136)</f>
        <v>331.6</v>
      </c>
      <c r="E137" s="318">
        <f>+SUM(E126:E136)</f>
        <v>2822.6</v>
      </c>
      <c r="F137" s="79">
        <f>+SUM(F126:F136)</f>
        <v>837.2</v>
      </c>
      <c r="G137" s="79">
        <f>+SUM(G126:G136)</f>
        <v>3691.3999999999996</v>
      </c>
      <c r="H137" s="69"/>
      <c r="K137" s="25"/>
    </row>
    <row r="138" spans="1:11">
      <c r="A138" s="336">
        <v>23</v>
      </c>
      <c r="B138" s="336" t="s">
        <v>14</v>
      </c>
      <c r="C138" s="6">
        <v>2215</v>
      </c>
      <c r="D138" s="84">
        <v>51.7</v>
      </c>
      <c r="E138" s="85"/>
      <c r="F138" s="68">
        <v>51.7</v>
      </c>
      <c r="G138" s="67"/>
      <c r="H138" s="345" t="s">
        <v>6</v>
      </c>
      <c r="K138" s="25"/>
    </row>
    <row r="139" spans="1:11">
      <c r="A139" s="337"/>
      <c r="B139" s="337"/>
      <c r="C139" s="6">
        <v>2218</v>
      </c>
      <c r="D139" s="84">
        <v>416.6</v>
      </c>
      <c r="E139" s="85"/>
      <c r="F139" s="68">
        <v>416.6</v>
      </c>
      <c r="G139" s="67"/>
      <c r="H139" s="348"/>
      <c r="K139" s="25"/>
    </row>
    <row r="140" spans="1:11">
      <c r="A140" s="337"/>
      <c r="B140" s="337"/>
      <c r="C140" s="6">
        <v>2221</v>
      </c>
      <c r="D140" s="84">
        <v>4</v>
      </c>
      <c r="E140" s="85"/>
      <c r="F140" s="68">
        <v>4</v>
      </c>
      <c r="G140" s="67"/>
      <c r="H140" s="348"/>
      <c r="K140" s="25"/>
    </row>
    <row r="141" spans="1:11">
      <c r="A141" s="337"/>
      <c r="B141" s="337"/>
      <c r="C141" s="6">
        <v>2111</v>
      </c>
      <c r="D141" s="84">
        <v>7600</v>
      </c>
      <c r="E141" s="85"/>
      <c r="F141" s="68">
        <v>7600</v>
      </c>
      <c r="G141" s="67"/>
      <c r="H141" s="339" t="s">
        <v>269</v>
      </c>
      <c r="K141" s="25"/>
    </row>
    <row r="142" spans="1:11">
      <c r="A142" s="337"/>
      <c r="B142" s="337"/>
      <c r="C142" s="6">
        <v>2121</v>
      </c>
      <c r="D142" s="84">
        <v>1300</v>
      </c>
      <c r="E142" s="85"/>
      <c r="F142" s="68">
        <v>1300</v>
      </c>
      <c r="G142" s="67"/>
      <c r="H142" s="339"/>
      <c r="K142" s="25"/>
    </row>
    <row r="143" spans="1:11">
      <c r="A143" s="337"/>
      <c r="B143" s="337"/>
      <c r="C143" s="6">
        <v>2215</v>
      </c>
      <c r="D143" s="84"/>
      <c r="E143" s="85"/>
      <c r="F143" s="68"/>
      <c r="G143" s="67">
        <v>300</v>
      </c>
      <c r="H143" s="8" t="s">
        <v>115</v>
      </c>
      <c r="K143" s="25"/>
    </row>
    <row r="144" spans="1:11">
      <c r="A144" s="337"/>
      <c r="B144" s="337"/>
      <c r="C144" s="6">
        <v>2221</v>
      </c>
      <c r="D144" s="84"/>
      <c r="E144" s="85">
        <v>125.6</v>
      </c>
      <c r="F144" s="68"/>
      <c r="G144" s="67">
        <v>125.6</v>
      </c>
      <c r="H144" s="8" t="s">
        <v>116</v>
      </c>
      <c r="K144" s="25"/>
    </row>
    <row r="145" spans="1:15" ht="25.5">
      <c r="A145" s="337"/>
      <c r="B145" s="337"/>
      <c r="C145" s="6">
        <v>3112</v>
      </c>
      <c r="D145" s="84"/>
      <c r="E145" s="85">
        <v>1197.4000000000001</v>
      </c>
      <c r="F145" s="68"/>
      <c r="G145" s="67">
        <v>976.1</v>
      </c>
      <c r="H145" s="8" t="s">
        <v>117</v>
      </c>
    </row>
    <row r="146" spans="1:15">
      <c r="A146" s="338"/>
      <c r="B146" s="338"/>
      <c r="C146" s="3" t="s">
        <v>22</v>
      </c>
      <c r="D146" s="318">
        <f>+SUM(D138:D145)</f>
        <v>9372.2999999999993</v>
      </c>
      <c r="E146" s="318">
        <f>+SUM(E138:E145)</f>
        <v>1323</v>
      </c>
      <c r="F146" s="79">
        <f>+SUM(F138:F145)</f>
        <v>9372.2999999999993</v>
      </c>
      <c r="G146" s="79">
        <f>+SUM(G138:G145)</f>
        <v>1401.7</v>
      </c>
      <c r="H146" s="69"/>
    </row>
    <row r="147" spans="1:15">
      <c r="A147" s="333">
        <v>24</v>
      </c>
      <c r="B147" s="333" t="s">
        <v>20</v>
      </c>
      <c r="C147" s="6">
        <v>2215</v>
      </c>
      <c r="D147" s="84">
        <v>1.2</v>
      </c>
      <c r="E147" s="85"/>
      <c r="F147" s="68">
        <v>1.2</v>
      </c>
      <c r="G147" s="67"/>
      <c r="H147" s="345" t="s">
        <v>6</v>
      </c>
    </row>
    <row r="148" spans="1:15">
      <c r="A148" s="334"/>
      <c r="B148" s="334"/>
      <c r="C148" s="6">
        <v>2222</v>
      </c>
      <c r="D148" s="84">
        <v>1.3</v>
      </c>
      <c r="E148" s="85"/>
      <c r="F148" s="68">
        <v>1.3</v>
      </c>
      <c r="G148" s="67"/>
      <c r="H148" s="346"/>
    </row>
    <row r="149" spans="1:15">
      <c r="A149" s="335"/>
      <c r="B149" s="335"/>
      <c r="C149" s="3" t="s">
        <v>22</v>
      </c>
      <c r="D149" s="318">
        <f>+SUM(D147:D148)</f>
        <v>2.5</v>
      </c>
      <c r="E149" s="318">
        <f>+SUM(E147:E148)</f>
        <v>0</v>
      </c>
      <c r="F149" s="79">
        <f>+SUM(F147:F148)</f>
        <v>2.5</v>
      </c>
      <c r="G149" s="79">
        <f>+SUM(G147:G148)</f>
        <v>0</v>
      </c>
      <c r="H149" s="69"/>
    </row>
    <row r="150" spans="1:15" ht="13.9" customHeight="1">
      <c r="A150" s="333">
        <v>25</v>
      </c>
      <c r="B150" s="336" t="s">
        <v>139</v>
      </c>
      <c r="C150" s="6">
        <v>2511</v>
      </c>
      <c r="D150" s="68"/>
      <c r="E150" s="67">
        <v>1315.3</v>
      </c>
      <c r="F150" s="68"/>
      <c r="G150" s="67">
        <v>1315.3</v>
      </c>
      <c r="H150" s="8" t="s">
        <v>140</v>
      </c>
      <c r="J150" s="72"/>
    </row>
    <row r="151" spans="1:15">
      <c r="A151" s="335"/>
      <c r="B151" s="338"/>
      <c r="C151" s="3" t="s">
        <v>22</v>
      </c>
      <c r="D151" s="79">
        <f>+SUM(D150)</f>
        <v>0</v>
      </c>
      <c r="E151" s="79">
        <f>+SUM(E150)</f>
        <v>1315.3</v>
      </c>
      <c r="F151" s="79">
        <f>+SUM(F150)</f>
        <v>0</v>
      </c>
      <c r="G151" s="79">
        <f>+SUM(G150)</f>
        <v>1315.3</v>
      </c>
      <c r="H151" s="8"/>
      <c r="M151" s="44"/>
      <c r="N151" s="44"/>
      <c r="O151" s="44"/>
    </row>
    <row r="152" spans="1:15" ht="25.5">
      <c r="A152" s="333">
        <v>26</v>
      </c>
      <c r="B152" s="336" t="s">
        <v>16</v>
      </c>
      <c r="C152" s="6">
        <v>2218</v>
      </c>
      <c r="D152" s="68">
        <v>84</v>
      </c>
      <c r="E152" s="67"/>
      <c r="F152" s="68">
        <v>84</v>
      </c>
      <c r="G152" s="67"/>
      <c r="H152" s="8" t="s">
        <v>6</v>
      </c>
      <c r="J152" s="72"/>
    </row>
    <row r="153" spans="1:15">
      <c r="A153" s="335"/>
      <c r="B153" s="338"/>
      <c r="C153" s="3" t="s">
        <v>22</v>
      </c>
      <c r="D153" s="79">
        <f>+SUM(D152)</f>
        <v>84</v>
      </c>
      <c r="E153" s="79">
        <f>+SUM(E152)</f>
        <v>0</v>
      </c>
      <c r="F153" s="79">
        <f>+SUM(F152)</f>
        <v>84</v>
      </c>
      <c r="G153" s="79">
        <f>+SUM(G152)</f>
        <v>0</v>
      </c>
      <c r="H153" s="8"/>
    </row>
    <row r="154" spans="1:15">
      <c r="A154" s="333">
        <v>27</v>
      </c>
      <c r="B154" s="336" t="s">
        <v>118</v>
      </c>
      <c r="C154" s="6">
        <v>2721</v>
      </c>
      <c r="D154" s="68">
        <v>2301.6999999999998</v>
      </c>
      <c r="E154" s="68"/>
      <c r="F154" s="68">
        <v>2301.6999999999998</v>
      </c>
      <c r="G154" s="68"/>
      <c r="H154" s="8" t="s">
        <v>119</v>
      </c>
    </row>
    <row r="155" spans="1:15">
      <c r="A155" s="335"/>
      <c r="B155" s="338"/>
      <c r="C155" s="3" t="s">
        <v>22</v>
      </c>
      <c r="D155" s="79">
        <f>+SUM(D154)</f>
        <v>2301.6999999999998</v>
      </c>
      <c r="E155" s="79">
        <f>+SUM(E154)</f>
        <v>0</v>
      </c>
      <c r="F155" s="79">
        <f>+SUM(F154)</f>
        <v>2301.6999999999998</v>
      </c>
      <c r="G155" s="79">
        <f>+SUM(G154)</f>
        <v>0</v>
      </c>
      <c r="H155" s="8"/>
    </row>
    <row r="156" spans="1:15">
      <c r="A156" s="80">
        <v>28</v>
      </c>
      <c r="B156" s="81" t="s">
        <v>19</v>
      </c>
      <c r="C156" s="6">
        <v>3141</v>
      </c>
      <c r="D156" s="84">
        <v>78142.7</v>
      </c>
      <c r="E156" s="85"/>
      <c r="F156" s="68">
        <f>21567+6380+3000+300+3000</f>
        <v>34247</v>
      </c>
      <c r="G156" s="67"/>
      <c r="H156" s="8" t="s">
        <v>134</v>
      </c>
      <c r="K156" s="87"/>
    </row>
    <row r="157" spans="1:15" ht="26.45" customHeight="1">
      <c r="A157" s="6">
        <v>29</v>
      </c>
      <c r="B157" s="74" t="s">
        <v>19</v>
      </c>
      <c r="C157" s="6">
        <v>14152100</v>
      </c>
      <c r="D157" s="68">
        <v>7000</v>
      </c>
      <c r="E157" s="67"/>
      <c r="F157" s="68">
        <v>7000</v>
      </c>
      <c r="G157" s="67"/>
      <c r="H157" s="8" t="s">
        <v>26</v>
      </c>
    </row>
    <row r="158" spans="1:15" ht="25.5">
      <c r="A158" s="6">
        <v>30</v>
      </c>
      <c r="B158" s="74" t="s">
        <v>87</v>
      </c>
      <c r="C158" s="6">
        <v>1111100</v>
      </c>
      <c r="D158" s="84">
        <v>40000</v>
      </c>
      <c r="E158" s="85"/>
      <c r="F158" s="68">
        <v>43000</v>
      </c>
      <c r="G158" s="67"/>
      <c r="H158" s="8" t="s">
        <v>86</v>
      </c>
      <c r="K158" s="9"/>
    </row>
    <row r="159" spans="1:15">
      <c r="A159" s="6"/>
      <c r="B159" s="349" t="s">
        <v>22</v>
      </c>
      <c r="C159" s="350"/>
      <c r="D159" s="319">
        <f>+D24+D29+D32+D35+D41+D45+D58+D60+D69+D81+D90+D100+D111+D120+D122+D137+D146+D149+D153+D155+D104+D157+D158+D156+D37+D102+D62+D151</f>
        <v>180431.8</v>
      </c>
      <c r="E159" s="319">
        <f>+E24+E29+E32+E35+E41+E45+E58+E60+E69+E81+E90+E100+E111+E120+E122+E137+E146+E149+E153+E155+E104+E157+E158+E156+E37+E102+E62+E151</f>
        <v>180157.5</v>
      </c>
      <c r="F159" s="75">
        <f>+F24+F29+F32+F35+F41+F45+F58+F60+F69+F81+F90+F100+F111+F120+F122+F137+F146+F149+F153+F155+F104+F157+F158+F156+F37+F102+F62+F151+F125</f>
        <v>141041.69999999998</v>
      </c>
      <c r="G159" s="75">
        <f>+G24+G29+G32+G35+G41+G45+G58+G60+G69+G81+G90+G100+G111+G120+G122+G137+G146+G149+G153+G155+G104+G157+G158+G156+G37+G102+G62+G151+G125</f>
        <v>141041.69999999998</v>
      </c>
      <c r="H159" s="8"/>
      <c r="I159" s="26"/>
      <c r="J159" s="26"/>
      <c r="K159" s="9"/>
    </row>
    <row r="160" spans="1:15">
      <c r="A160" s="13"/>
      <c r="B160" s="76"/>
      <c r="C160" s="14"/>
      <c r="D160" s="320"/>
      <c r="E160" s="320">
        <f>D159-E159</f>
        <v>274.29999999998836</v>
      </c>
      <c r="F160" s="77"/>
      <c r="G160" s="77">
        <f>F159-G159</f>
        <v>0</v>
      </c>
      <c r="H160" s="86"/>
      <c r="I160" s="26"/>
      <c r="J160" s="26"/>
    </row>
    <row r="161" spans="1:10">
      <c r="A161" s="13"/>
      <c r="B161" s="76"/>
      <c r="C161" s="14"/>
      <c r="D161" s="320"/>
      <c r="F161" s="77"/>
      <c r="H161" s="78"/>
      <c r="I161" s="26"/>
      <c r="J161" s="26"/>
    </row>
    <row r="162" spans="1:10" ht="15.75">
      <c r="B162" s="65"/>
      <c r="C162" s="65"/>
      <c r="D162" s="321"/>
      <c r="E162" s="321"/>
      <c r="F162" s="66"/>
      <c r="G162" s="66"/>
      <c r="H162" s="66"/>
      <c r="I162" s="66"/>
      <c r="J162" s="15"/>
    </row>
    <row r="163" spans="1:10">
      <c r="B163" s="44" t="s">
        <v>303</v>
      </c>
      <c r="H163" s="44" t="s">
        <v>304</v>
      </c>
    </row>
    <row r="165" spans="1:10">
      <c r="E165" s="322"/>
      <c r="G165" s="26"/>
    </row>
  </sheetData>
  <mergeCells count="69">
    <mergeCell ref="A154:A155"/>
    <mergeCell ref="B154:B155"/>
    <mergeCell ref="B159:C159"/>
    <mergeCell ref="A150:A151"/>
    <mergeCell ref="B150:B151"/>
    <mergeCell ref="A152:A153"/>
    <mergeCell ref="B152:B153"/>
    <mergeCell ref="A147:A149"/>
    <mergeCell ref="B147:B149"/>
    <mergeCell ref="H147:H148"/>
    <mergeCell ref="A121:A122"/>
    <mergeCell ref="B121:B122"/>
    <mergeCell ref="A123:A125"/>
    <mergeCell ref="B123:B125"/>
    <mergeCell ref="H123:H124"/>
    <mergeCell ref="A126:A137"/>
    <mergeCell ref="B126:B137"/>
    <mergeCell ref="H126:H129"/>
    <mergeCell ref="A138:A146"/>
    <mergeCell ref="B138:B146"/>
    <mergeCell ref="H138:H140"/>
    <mergeCell ref="H141:H142"/>
    <mergeCell ref="H91:H96"/>
    <mergeCell ref="B105:B111"/>
    <mergeCell ref="H105:H106"/>
    <mergeCell ref="A112:A120"/>
    <mergeCell ref="B112:B120"/>
    <mergeCell ref="H113:H114"/>
    <mergeCell ref="H115:H116"/>
    <mergeCell ref="A103:A104"/>
    <mergeCell ref="B103:B104"/>
    <mergeCell ref="A105:A111"/>
    <mergeCell ref="A91:A100"/>
    <mergeCell ref="B91:B100"/>
    <mergeCell ref="H63:H65"/>
    <mergeCell ref="A70:A81"/>
    <mergeCell ref="B70:B81"/>
    <mergeCell ref="H70:H71"/>
    <mergeCell ref="A82:A90"/>
    <mergeCell ref="B82:B90"/>
    <mergeCell ref="A63:A69"/>
    <mergeCell ref="B63:B69"/>
    <mergeCell ref="H46:H51"/>
    <mergeCell ref="A59:A60"/>
    <mergeCell ref="B59:B60"/>
    <mergeCell ref="A61:A62"/>
    <mergeCell ref="B61:B62"/>
    <mergeCell ref="H25:H28"/>
    <mergeCell ref="A30:A32"/>
    <mergeCell ref="A101:A102"/>
    <mergeCell ref="B101:B102"/>
    <mergeCell ref="A7:H7"/>
    <mergeCell ref="A11:A24"/>
    <mergeCell ref="B11:B24"/>
    <mergeCell ref="H11:H14"/>
    <mergeCell ref="H15:H16"/>
    <mergeCell ref="B30:B32"/>
    <mergeCell ref="A33:A35"/>
    <mergeCell ref="B33:B35"/>
    <mergeCell ref="A36:A37"/>
    <mergeCell ref="B36:B37"/>
    <mergeCell ref="A38:A41"/>
    <mergeCell ref="B38:B41"/>
    <mergeCell ref="A25:A29"/>
    <mergeCell ref="B25:B29"/>
    <mergeCell ref="A42:A45"/>
    <mergeCell ref="B42:B45"/>
    <mergeCell ref="A46:A58"/>
    <mergeCell ref="B46:B58"/>
  </mergeCells>
  <pageMargins left="0.39370078740157483" right="0.39370078740157483" top="0.39370078740157483" bottom="0.39370078740157483" header="0.31496062992125984" footer="0.31496062992125984"/>
  <pageSetup paperSize="9" scale="82" fitToHeight="0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I27"/>
  <sheetViews>
    <sheetView zoomScale="85" zoomScaleNormal="85" zoomScaleSheetLayoutView="85" workbookViewId="0">
      <selection activeCell="F25" sqref="F25"/>
    </sheetView>
  </sheetViews>
  <sheetFormatPr defaultColWidth="9.140625" defaultRowHeight="12.75"/>
  <cols>
    <col min="1" max="1" width="3" style="25" bestFit="1" customWidth="1"/>
    <col min="2" max="2" width="26" style="25" customWidth="1"/>
    <col min="3" max="3" width="9" style="25" bestFit="1" customWidth="1"/>
    <col min="4" max="4" width="14.140625" style="25" bestFit="1" customWidth="1"/>
    <col min="5" max="5" width="12.140625" style="25" customWidth="1"/>
    <col min="6" max="6" width="47.7109375" style="25" customWidth="1"/>
    <col min="7" max="8" width="9.140625" style="25"/>
    <col min="9" max="9" width="9.140625" style="1"/>
    <col min="10" max="16384" width="9.140625" style="25"/>
  </cols>
  <sheetData>
    <row r="1" spans="1:9">
      <c r="F1" s="63" t="s">
        <v>290</v>
      </c>
    </row>
    <row r="2" spans="1:9">
      <c r="F2" s="64" t="s">
        <v>291</v>
      </c>
    </row>
    <row r="3" spans="1:9">
      <c r="F3" s="63" t="s">
        <v>292</v>
      </c>
    </row>
    <row r="4" spans="1:9">
      <c r="F4" s="63" t="s">
        <v>293</v>
      </c>
    </row>
    <row r="5" spans="1:9">
      <c r="F5" s="2" t="s">
        <v>296</v>
      </c>
    </row>
    <row r="6" spans="1:9">
      <c r="F6" s="2"/>
    </row>
    <row r="7" spans="1:9" ht="27" customHeight="1">
      <c r="A7" s="351" t="s">
        <v>272</v>
      </c>
      <c r="B7" s="352"/>
      <c r="C7" s="352"/>
      <c r="D7" s="352"/>
      <c r="E7" s="352"/>
      <c r="F7" s="352"/>
    </row>
    <row r="8" spans="1:9" ht="51">
      <c r="A8" s="3" t="s">
        <v>0</v>
      </c>
      <c r="B8" s="3" t="s">
        <v>1</v>
      </c>
      <c r="C8" s="3" t="s">
        <v>2</v>
      </c>
      <c r="D8" s="4" t="s">
        <v>3</v>
      </c>
      <c r="E8" s="4" t="s">
        <v>17</v>
      </c>
      <c r="F8" s="3" t="s">
        <v>4</v>
      </c>
    </row>
    <row r="9" spans="1:9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10</v>
      </c>
    </row>
    <row r="10" spans="1:9" ht="25.5">
      <c r="A10" s="334">
        <v>1</v>
      </c>
      <c r="B10" s="337" t="s">
        <v>21</v>
      </c>
      <c r="C10" s="12">
        <v>2215</v>
      </c>
      <c r="D10" s="17">
        <f>1215+170</f>
        <v>1385</v>
      </c>
      <c r="E10" s="17"/>
      <c r="F10" s="8" t="s">
        <v>274</v>
      </c>
    </row>
    <row r="11" spans="1:9">
      <c r="A11" s="334"/>
      <c r="B11" s="337"/>
      <c r="C11" s="6">
        <v>2111</v>
      </c>
      <c r="D11" s="16"/>
      <c r="E11" s="16">
        <v>1215</v>
      </c>
      <c r="F11" s="8" t="s">
        <v>273</v>
      </c>
    </row>
    <row r="12" spans="1:9">
      <c r="A12" s="334"/>
      <c r="B12" s="337"/>
      <c r="C12" s="12">
        <v>2215</v>
      </c>
      <c r="D12" s="17"/>
      <c r="E12" s="17">
        <v>170</v>
      </c>
      <c r="F12" s="8" t="s">
        <v>256</v>
      </c>
    </row>
    <row r="13" spans="1:9">
      <c r="A13" s="335"/>
      <c r="B13" s="338"/>
      <c r="C13" s="3" t="s">
        <v>22</v>
      </c>
      <c r="D13" s="79">
        <f>+SUM(D10:D12)</f>
        <v>1385</v>
      </c>
      <c r="E13" s="79">
        <f>+SUM(E10:E12)</f>
        <v>1385</v>
      </c>
      <c r="F13" s="10"/>
      <c r="H13" s="1"/>
      <c r="I13" s="25"/>
    </row>
    <row r="14" spans="1:9" ht="25.5">
      <c r="A14" s="336">
        <v>2</v>
      </c>
      <c r="B14" s="336" t="s">
        <v>27</v>
      </c>
      <c r="C14" s="6">
        <v>14411100</v>
      </c>
      <c r="D14" s="16">
        <v>96.3</v>
      </c>
      <c r="E14" s="16"/>
      <c r="F14" s="8" t="s">
        <v>204</v>
      </c>
    </row>
    <row r="15" spans="1:9">
      <c r="A15" s="337"/>
      <c r="B15" s="337"/>
      <c r="C15" s="7">
        <v>2214</v>
      </c>
      <c r="D15" s="62"/>
      <c r="E15" s="62">
        <v>96.3</v>
      </c>
      <c r="F15" s="8" t="s">
        <v>205</v>
      </c>
      <c r="H15" s="1"/>
      <c r="I15" s="25"/>
    </row>
    <row r="16" spans="1:9">
      <c r="A16" s="337"/>
      <c r="B16" s="337"/>
      <c r="C16" s="3" t="s">
        <v>22</v>
      </c>
      <c r="D16" s="79">
        <f>+SUM(D14:D15)</f>
        <v>96.3</v>
      </c>
      <c r="E16" s="79">
        <f>+SUM(E14:E15)</f>
        <v>96.3</v>
      </c>
      <c r="F16" s="10"/>
      <c r="H16" s="9"/>
      <c r="I16" s="25"/>
    </row>
    <row r="17" spans="1:9">
      <c r="A17" s="6"/>
      <c r="B17" s="11"/>
      <c r="C17" s="12"/>
      <c r="D17" s="79">
        <f>+D13+D16</f>
        <v>1481.3</v>
      </c>
      <c r="E17" s="79">
        <f>+E13+E16</f>
        <v>1481.3</v>
      </c>
      <c r="F17" s="8"/>
      <c r="G17" s="26"/>
      <c r="H17" s="18"/>
      <c r="I17" s="25"/>
    </row>
    <row r="18" spans="1:9">
      <c r="A18" s="13"/>
      <c r="B18" s="19"/>
      <c r="C18" s="14"/>
      <c r="D18" s="20"/>
      <c r="E18" s="26">
        <f>E17-D17</f>
        <v>0</v>
      </c>
      <c r="I18" s="25"/>
    </row>
    <row r="19" spans="1:9" ht="12.75" customHeight="1">
      <c r="A19" s="13"/>
      <c r="B19" s="14"/>
      <c r="C19" s="14"/>
      <c r="D19" s="20"/>
      <c r="I19" s="25"/>
    </row>
    <row r="20" spans="1:9">
      <c r="A20" s="13"/>
      <c r="B20" s="15"/>
      <c r="C20" s="15"/>
      <c r="D20" s="21"/>
      <c r="I20" s="25"/>
    </row>
    <row r="21" spans="1:9">
      <c r="A21" s="13"/>
      <c r="B21" s="14"/>
      <c r="C21" s="14"/>
      <c r="D21" s="21"/>
      <c r="I21" s="25"/>
    </row>
    <row r="22" spans="1:9">
      <c r="B22" s="44" t="s">
        <v>303</v>
      </c>
      <c r="C22" s="44"/>
      <c r="D22" s="44"/>
      <c r="E22" s="44"/>
      <c r="F22" s="44" t="s">
        <v>304</v>
      </c>
      <c r="I22" s="25"/>
    </row>
    <row r="23" spans="1:9">
      <c r="B23" s="1"/>
      <c r="I23" s="25"/>
    </row>
    <row r="24" spans="1:9">
      <c r="I24" s="25"/>
    </row>
    <row r="25" spans="1:9">
      <c r="A25" s="14"/>
      <c r="B25" s="13"/>
      <c r="C25" s="13"/>
      <c r="D25" s="22"/>
      <c r="I25" s="25"/>
    </row>
    <row r="26" spans="1:9">
      <c r="A26" s="23"/>
      <c r="B26" s="23"/>
      <c r="C26" s="23"/>
      <c r="D26" s="23"/>
      <c r="I26" s="25"/>
    </row>
    <row r="27" spans="1:9">
      <c r="H27" s="26"/>
    </row>
  </sheetData>
  <mergeCells count="5">
    <mergeCell ref="B14:B16"/>
    <mergeCell ref="A14:A16"/>
    <mergeCell ref="A7:F7"/>
    <mergeCell ref="B10:B13"/>
    <mergeCell ref="A10:A13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D140-4DAA-429F-9313-507E6D99661E}">
  <sheetPr>
    <tabColor rgb="FF92D050"/>
    <pageSetUpPr fitToPage="1"/>
  </sheetPr>
  <dimension ref="A1:AB37"/>
  <sheetViews>
    <sheetView topLeftCell="A9" workbookViewId="0">
      <selection activeCell="B35" sqref="B35:T35"/>
    </sheetView>
  </sheetViews>
  <sheetFormatPr defaultColWidth="9.140625" defaultRowHeight="12.75"/>
  <cols>
    <col min="1" max="1" width="3.5703125" style="112" customWidth="1"/>
    <col min="2" max="2" width="33.7109375" style="112" customWidth="1"/>
    <col min="3" max="3" width="4.42578125" style="112" customWidth="1"/>
    <col min="4" max="4" width="8" style="112" customWidth="1"/>
    <col min="5" max="5" width="5.42578125" style="112" customWidth="1"/>
    <col min="6" max="6" width="7.7109375" style="112" customWidth="1"/>
    <col min="7" max="7" width="6" style="112" customWidth="1"/>
    <col min="8" max="8" width="7.28515625" style="112" customWidth="1"/>
    <col min="9" max="9" width="6.42578125" style="112" hidden="1" customWidth="1"/>
    <col min="10" max="11" width="9.140625" style="112" hidden="1" customWidth="1"/>
    <col min="12" max="12" width="6.85546875" style="112" hidden="1" customWidth="1"/>
    <col min="13" max="13" width="7.140625" style="112" hidden="1" customWidth="1"/>
    <col min="14" max="14" width="4.42578125" style="112" customWidth="1"/>
    <col min="15" max="15" width="7.85546875" style="112" customWidth="1"/>
    <col min="16" max="16" width="6.42578125" style="112" customWidth="1"/>
    <col min="17" max="17" width="7.28515625" style="112" customWidth="1"/>
    <col min="18" max="20" width="8.7109375" style="112" customWidth="1"/>
    <col min="21" max="21" width="10.7109375" style="112" customWidth="1"/>
    <col min="22" max="22" width="8.7109375" style="112" customWidth="1"/>
    <col min="23" max="24" width="8.7109375" style="112" hidden="1" customWidth="1"/>
    <col min="25" max="25" width="9.7109375" style="112" customWidth="1"/>
    <col min="26" max="26" width="8.7109375" style="112" customWidth="1"/>
    <col min="27" max="28" width="9.85546875" style="112" customWidth="1"/>
    <col min="29" max="16384" width="9.140625" style="112"/>
  </cols>
  <sheetData>
    <row r="1" spans="1:28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AA1" s="63" t="s">
        <v>290</v>
      </c>
      <c r="AB1" s="63"/>
    </row>
    <row r="2" spans="1:28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AA2" s="64" t="s">
        <v>291</v>
      </c>
      <c r="AB2" s="64"/>
    </row>
    <row r="3" spans="1:28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AA3" s="63" t="s">
        <v>292</v>
      </c>
      <c r="AB3" s="63"/>
    </row>
    <row r="4" spans="1:28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AA4" s="63" t="s">
        <v>293</v>
      </c>
      <c r="AB4" s="63"/>
    </row>
    <row r="5" spans="1:28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AA5" s="2" t="s">
        <v>297</v>
      </c>
      <c r="AB5" s="90"/>
    </row>
    <row r="6" spans="1:28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8">
      <c r="A7" s="353" t="s">
        <v>184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23"/>
    </row>
    <row r="9" spans="1:28" ht="13.9" customHeight="1">
      <c r="A9" s="354" t="s">
        <v>0</v>
      </c>
      <c r="B9" s="354" t="s">
        <v>149</v>
      </c>
      <c r="C9" s="354" t="s">
        <v>150</v>
      </c>
      <c r="D9" s="354" t="s">
        <v>151</v>
      </c>
      <c r="E9" s="354" t="s">
        <v>152</v>
      </c>
      <c r="F9" s="357" t="s">
        <v>153</v>
      </c>
      <c r="G9" s="360" t="s">
        <v>154</v>
      </c>
      <c r="H9" s="361"/>
      <c r="I9" s="361"/>
      <c r="J9" s="361"/>
      <c r="K9" s="361"/>
      <c r="L9" s="361"/>
      <c r="M9" s="361"/>
      <c r="N9" s="361"/>
      <c r="O9" s="361"/>
      <c r="P9" s="361"/>
      <c r="Q9" s="362"/>
      <c r="R9" s="354" t="s">
        <v>155</v>
      </c>
      <c r="S9" s="354" t="s">
        <v>156</v>
      </c>
      <c r="T9" s="354" t="s">
        <v>157</v>
      </c>
      <c r="U9" s="354" t="s">
        <v>158</v>
      </c>
      <c r="V9" s="354" t="s">
        <v>159</v>
      </c>
      <c r="W9" s="92"/>
      <c r="X9" s="92"/>
      <c r="Y9" s="354" t="s">
        <v>160</v>
      </c>
      <c r="Z9" s="354" t="s">
        <v>161</v>
      </c>
      <c r="AA9" s="354" t="s">
        <v>162</v>
      </c>
      <c r="AB9" s="113"/>
    </row>
    <row r="10" spans="1:28" ht="117.6" customHeight="1">
      <c r="A10" s="355"/>
      <c r="B10" s="355"/>
      <c r="C10" s="355"/>
      <c r="D10" s="355"/>
      <c r="E10" s="355"/>
      <c r="F10" s="358"/>
      <c r="G10" s="366" t="s">
        <v>163</v>
      </c>
      <c r="H10" s="367"/>
      <c r="I10" s="91" t="s">
        <v>164</v>
      </c>
      <c r="J10" s="366" t="s">
        <v>165</v>
      </c>
      <c r="K10" s="367"/>
      <c r="L10" s="366" t="s">
        <v>185</v>
      </c>
      <c r="M10" s="367"/>
      <c r="N10" s="366" t="s">
        <v>167</v>
      </c>
      <c r="O10" s="367"/>
      <c r="P10" s="368" t="s">
        <v>168</v>
      </c>
      <c r="Q10" s="369"/>
      <c r="R10" s="356"/>
      <c r="S10" s="356"/>
      <c r="T10" s="356"/>
      <c r="U10" s="356"/>
      <c r="V10" s="356"/>
      <c r="W10" s="93"/>
      <c r="X10" s="93"/>
      <c r="Y10" s="356"/>
      <c r="Z10" s="356"/>
      <c r="AA10" s="356"/>
    </row>
    <row r="11" spans="1:28">
      <c r="A11" s="356"/>
      <c r="B11" s="356"/>
      <c r="C11" s="356"/>
      <c r="D11" s="356"/>
      <c r="E11" s="356"/>
      <c r="F11" s="359"/>
      <c r="G11" s="94" t="s">
        <v>169</v>
      </c>
      <c r="H11" s="94" t="s">
        <v>170</v>
      </c>
      <c r="I11" s="94" t="s">
        <v>170</v>
      </c>
      <c r="J11" s="94" t="s">
        <v>169</v>
      </c>
      <c r="K11" s="94" t="s">
        <v>170</v>
      </c>
      <c r="L11" s="94" t="s">
        <v>169</v>
      </c>
      <c r="M11" s="94" t="s">
        <v>170</v>
      </c>
      <c r="N11" s="94" t="s">
        <v>169</v>
      </c>
      <c r="O11" s="94" t="s">
        <v>170</v>
      </c>
      <c r="P11" s="94" t="s">
        <v>169</v>
      </c>
      <c r="Q11" s="94" t="s">
        <v>170</v>
      </c>
      <c r="R11" s="94" t="s">
        <v>170</v>
      </c>
      <c r="S11" s="94" t="s">
        <v>170</v>
      </c>
      <c r="T11" s="94" t="s">
        <v>170</v>
      </c>
      <c r="U11" s="94" t="s">
        <v>170</v>
      </c>
      <c r="V11" s="94" t="s">
        <v>170</v>
      </c>
      <c r="W11" s="94"/>
      <c r="X11" s="94"/>
      <c r="Y11" s="94" t="s">
        <v>170</v>
      </c>
      <c r="Z11" s="94" t="s">
        <v>170</v>
      </c>
      <c r="AA11" s="94" t="s">
        <v>170</v>
      </c>
    </row>
    <row r="12" spans="1:28">
      <c r="A12" s="94">
        <v>1</v>
      </c>
      <c r="B12" s="94">
        <v>2</v>
      </c>
      <c r="C12" s="94">
        <v>3</v>
      </c>
      <c r="D12" s="94">
        <v>4</v>
      </c>
      <c r="E12" s="94">
        <v>5</v>
      </c>
      <c r="F12" s="94">
        <v>6</v>
      </c>
      <c r="G12" s="94">
        <v>7</v>
      </c>
      <c r="H12" s="94">
        <v>8</v>
      </c>
      <c r="I12" s="94">
        <v>9</v>
      </c>
      <c r="J12" s="94">
        <v>10</v>
      </c>
      <c r="K12" s="94">
        <v>11</v>
      </c>
      <c r="L12" s="94">
        <v>12</v>
      </c>
      <c r="M12" s="94">
        <v>13</v>
      </c>
      <c r="N12" s="94">
        <v>9</v>
      </c>
      <c r="O12" s="94">
        <v>10</v>
      </c>
      <c r="P12" s="94">
        <v>11</v>
      </c>
      <c r="Q12" s="94">
        <v>12</v>
      </c>
      <c r="R12" s="94">
        <v>13</v>
      </c>
      <c r="S12" s="94">
        <v>14</v>
      </c>
      <c r="T12" s="94">
        <v>15</v>
      </c>
      <c r="U12" s="94">
        <v>16</v>
      </c>
      <c r="V12" s="94">
        <v>17</v>
      </c>
      <c r="W12" s="94"/>
      <c r="X12" s="94"/>
      <c r="Y12" s="94">
        <v>18</v>
      </c>
      <c r="Z12" s="94">
        <v>19</v>
      </c>
      <c r="AA12" s="94">
        <v>20</v>
      </c>
    </row>
    <row r="13" spans="1:28">
      <c r="A13" s="363" t="s">
        <v>206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5"/>
    </row>
    <row r="14" spans="1:28" ht="15" customHeight="1">
      <c r="A14" s="114">
        <v>1</v>
      </c>
      <c r="B14" s="200" t="s">
        <v>186</v>
      </c>
      <c r="C14" s="114">
        <v>1</v>
      </c>
      <c r="D14" s="115">
        <v>7040</v>
      </c>
      <c r="E14" s="201">
        <v>4</v>
      </c>
      <c r="F14" s="115">
        <f t="shared" ref="F14:F21" si="0">+D14*E14</f>
        <v>28160</v>
      </c>
      <c r="G14" s="116">
        <v>0.15</v>
      </c>
      <c r="H14" s="115">
        <f t="shared" ref="H14:H20" si="1">F14*G14</f>
        <v>4224</v>
      </c>
      <c r="I14" s="117"/>
      <c r="J14" s="117"/>
      <c r="K14" s="117"/>
      <c r="L14" s="116"/>
      <c r="M14" s="117"/>
      <c r="N14" s="118">
        <v>0.3</v>
      </c>
      <c r="O14" s="115">
        <f>F14*0.3</f>
        <v>8448</v>
      </c>
      <c r="P14" s="117"/>
      <c r="Q14" s="119"/>
      <c r="R14" s="115">
        <f t="shared" ref="R14:R21" si="2">+F14+H14+M14+O14+Q14</f>
        <v>40832</v>
      </c>
      <c r="S14" s="115">
        <f>R14*C14</f>
        <v>40832</v>
      </c>
      <c r="T14" s="98">
        <f t="shared" ref="T14" si="3">(((S14+(S14*14.0135/12/12)))*3/3/29.6)*30</f>
        <v>45411.086936936925</v>
      </c>
      <c r="U14" s="115">
        <f>S14*2</f>
        <v>81664</v>
      </c>
      <c r="V14" s="98">
        <f>(S14*14.0135)/12</f>
        <v>47683.269333333337</v>
      </c>
      <c r="W14" s="98"/>
      <c r="X14" s="98"/>
      <c r="Y14" s="115">
        <f>(S14*7)+T14+U14+V14</f>
        <v>460582.35627027031</v>
      </c>
      <c r="Z14" s="115">
        <f>((S14*7)+T14+V14)*0.1725</f>
        <v>65363.41645662162</v>
      </c>
      <c r="AA14" s="115">
        <f>Y14+Z14</f>
        <v>525945.77272689191</v>
      </c>
    </row>
    <row r="15" spans="1:28">
      <c r="A15" s="114">
        <v>2</v>
      </c>
      <c r="B15" s="200" t="s">
        <v>187</v>
      </c>
      <c r="C15" s="114">
        <v>1</v>
      </c>
      <c r="D15" s="115">
        <v>7040</v>
      </c>
      <c r="E15" s="120">
        <v>3.43</v>
      </c>
      <c r="F15" s="115">
        <f t="shared" si="0"/>
        <v>24147.200000000001</v>
      </c>
      <c r="G15" s="116">
        <v>0.25</v>
      </c>
      <c r="H15" s="115">
        <f t="shared" si="1"/>
        <v>6036.8</v>
      </c>
      <c r="I15" s="117"/>
      <c r="J15" s="117"/>
      <c r="K15" s="117"/>
      <c r="L15" s="116"/>
      <c r="M15" s="117"/>
      <c r="N15" s="203">
        <v>0.3</v>
      </c>
      <c r="O15" s="115">
        <f>F15*N15</f>
        <v>7244.16</v>
      </c>
      <c r="P15" s="117"/>
      <c r="Q15" s="119"/>
      <c r="R15" s="115">
        <f t="shared" si="2"/>
        <v>37428.160000000003</v>
      </c>
      <c r="S15" s="115">
        <f>R15*C15</f>
        <v>37428.160000000003</v>
      </c>
      <c r="T15" s="98">
        <f>(((S15+(S15*14.0135/12/12)))*3/3/29.6)*30</f>
        <v>41625.5247759009</v>
      </c>
      <c r="U15" s="115">
        <f>S15*2</f>
        <v>74856.320000000007</v>
      </c>
      <c r="V15" s="98">
        <f>(S15*14.0135)/12</f>
        <v>43708.293346666673</v>
      </c>
      <c r="W15" s="98"/>
      <c r="X15" s="98"/>
      <c r="Y15" s="115">
        <f t="shared" ref="Y15:Y21" si="4">(S15*7)+T15+U15+V15</f>
        <v>422187.25812256761</v>
      </c>
      <c r="Z15" s="115">
        <f t="shared" ref="Z15:Z21" si="5">((S15*7)+T15+V15)*0.1725</f>
        <v>59914.586826142906</v>
      </c>
      <c r="AA15" s="115">
        <f>Y15+Z15</f>
        <v>482101.84494871052</v>
      </c>
    </row>
    <row r="16" spans="1:28">
      <c r="A16" s="114">
        <v>3</v>
      </c>
      <c r="B16" s="200" t="s">
        <v>188</v>
      </c>
      <c r="C16" s="114">
        <v>1</v>
      </c>
      <c r="D16" s="115">
        <v>7040</v>
      </c>
      <c r="E16" s="120">
        <v>3.43</v>
      </c>
      <c r="F16" s="115">
        <f t="shared" si="0"/>
        <v>24147.200000000001</v>
      </c>
      <c r="G16" s="116">
        <v>0.25</v>
      </c>
      <c r="H16" s="115">
        <f t="shared" si="1"/>
        <v>6036.8</v>
      </c>
      <c r="I16" s="117"/>
      <c r="J16" s="117"/>
      <c r="K16" s="117"/>
      <c r="L16" s="116"/>
      <c r="M16" s="117"/>
      <c r="N16" s="203">
        <v>0.1</v>
      </c>
      <c r="O16" s="115">
        <f>F16*N16</f>
        <v>2414.7200000000003</v>
      </c>
      <c r="P16" s="117"/>
      <c r="Q16" s="119"/>
      <c r="R16" s="115">
        <f t="shared" si="2"/>
        <v>32598.720000000001</v>
      </c>
      <c r="S16" s="115">
        <f>R16*C16</f>
        <v>32598.720000000001</v>
      </c>
      <c r="T16" s="98">
        <f>(((S16+(S16*14.0135/12/12)))*3/3/29.6)*30</f>
        <v>36254.489320945948</v>
      </c>
      <c r="U16" s="115">
        <f>S16*2</f>
        <v>65197.440000000002</v>
      </c>
      <c r="V16" s="98">
        <f>(S16*14.0135)/12</f>
        <v>38068.513559999999</v>
      </c>
      <c r="W16" s="98"/>
      <c r="X16" s="98"/>
      <c r="Y16" s="115">
        <f t="shared" si="4"/>
        <v>367711.48288094596</v>
      </c>
      <c r="Z16" s="115">
        <f t="shared" si="5"/>
        <v>52183.672396963171</v>
      </c>
      <c r="AA16" s="115">
        <f>Y16+Z16</f>
        <v>419895.15527790913</v>
      </c>
    </row>
    <row r="17" spans="1:27" ht="15" customHeight="1">
      <c r="A17" s="114">
        <v>4</v>
      </c>
      <c r="B17" s="200" t="s">
        <v>189</v>
      </c>
      <c r="C17" s="114">
        <v>1</v>
      </c>
      <c r="D17" s="115">
        <v>7040</v>
      </c>
      <c r="E17" s="120">
        <v>2.5099999999999998</v>
      </c>
      <c r="F17" s="115">
        <f t="shared" si="0"/>
        <v>17670.399999999998</v>
      </c>
      <c r="G17" s="116">
        <v>0.1</v>
      </c>
      <c r="H17" s="115">
        <f t="shared" si="1"/>
        <v>1767.04</v>
      </c>
      <c r="I17" s="117"/>
      <c r="J17" s="117"/>
      <c r="K17" s="117"/>
      <c r="L17" s="116"/>
      <c r="M17" s="117"/>
      <c r="N17" s="203">
        <f>20%+20%</f>
        <v>0.4</v>
      </c>
      <c r="O17" s="115">
        <f>F17*0.4</f>
        <v>7068.16</v>
      </c>
      <c r="P17" s="117"/>
      <c r="Q17" s="119"/>
      <c r="R17" s="115">
        <f t="shared" si="2"/>
        <v>26505.599999999999</v>
      </c>
      <c r="S17" s="115">
        <f t="shared" ref="S17" si="6">R17*C17</f>
        <v>26505.599999999999</v>
      </c>
      <c r="T17" s="98">
        <f t="shared" ref="T17" si="7">(((S17+(S17*14.0135/12/12)))*3/3/29.6)*30</f>
        <v>29478.05902027027</v>
      </c>
      <c r="U17" s="115">
        <f t="shared" ref="U17" si="8">S17*2</f>
        <v>53011.199999999997</v>
      </c>
      <c r="V17" s="98">
        <f t="shared" ref="V17" si="9">(S17*14.0135)/12</f>
        <v>30953.018800000002</v>
      </c>
      <c r="W17" s="98"/>
      <c r="X17" s="98"/>
      <c r="Y17" s="115">
        <f t="shared" si="4"/>
        <v>298981.47782027029</v>
      </c>
      <c r="Z17" s="115">
        <f t="shared" si="5"/>
        <v>42429.872923996612</v>
      </c>
      <c r="AA17" s="115">
        <f t="shared" ref="AA17" si="10">Y17+Z17</f>
        <v>341411.35074426688</v>
      </c>
    </row>
    <row r="18" spans="1:27">
      <c r="A18" s="114">
        <v>5</v>
      </c>
      <c r="B18" s="200" t="s">
        <v>190</v>
      </c>
      <c r="C18" s="114">
        <v>1</v>
      </c>
      <c r="D18" s="115">
        <v>7040</v>
      </c>
      <c r="E18" s="120">
        <v>2.5099999999999998</v>
      </c>
      <c r="F18" s="115">
        <f t="shared" si="0"/>
        <v>17670.399999999998</v>
      </c>
      <c r="G18" s="116">
        <v>0.4</v>
      </c>
      <c r="H18" s="115">
        <f t="shared" si="1"/>
        <v>7068.16</v>
      </c>
      <c r="I18" s="117"/>
      <c r="J18" s="117"/>
      <c r="K18" s="117"/>
      <c r="L18" s="116"/>
      <c r="M18" s="117"/>
      <c r="N18" s="203">
        <v>0.5</v>
      </c>
      <c r="O18" s="115">
        <f>F18*N18</f>
        <v>8835.1999999999989</v>
      </c>
      <c r="P18" s="117"/>
      <c r="Q18" s="119"/>
      <c r="R18" s="115">
        <f t="shared" si="2"/>
        <v>33573.759999999995</v>
      </c>
      <c r="S18" s="115">
        <f>R18*C18</f>
        <v>33573.759999999995</v>
      </c>
      <c r="T18" s="98">
        <f>(((S18+(S18*14.0135/12/12)))*3/3/29.6)*30</f>
        <v>37338.874759009006</v>
      </c>
      <c r="U18" s="115">
        <f>S18*2</f>
        <v>67147.51999999999</v>
      </c>
      <c r="V18" s="98">
        <f>(S18*14.0135)/12</f>
        <v>39207.157146666657</v>
      </c>
      <c r="W18" s="98"/>
      <c r="X18" s="98"/>
      <c r="Y18" s="115">
        <f t="shared" si="4"/>
        <v>378709.87190567562</v>
      </c>
      <c r="Z18" s="115">
        <f t="shared" si="5"/>
        <v>53744.505703729039</v>
      </c>
      <c r="AA18" s="115">
        <f>Y18+Z18</f>
        <v>432454.37760940468</v>
      </c>
    </row>
    <row r="19" spans="1:27">
      <c r="A19" s="114">
        <v>6</v>
      </c>
      <c r="B19" s="202" t="s">
        <v>191</v>
      </c>
      <c r="C19" s="114">
        <v>1</v>
      </c>
      <c r="D19" s="115">
        <v>7040</v>
      </c>
      <c r="E19" s="121">
        <v>2.5099999999999998</v>
      </c>
      <c r="F19" s="115">
        <f t="shared" si="0"/>
        <v>17670.399999999998</v>
      </c>
      <c r="G19" s="116">
        <v>0.05</v>
      </c>
      <c r="H19" s="115">
        <f t="shared" si="1"/>
        <v>883.52</v>
      </c>
      <c r="I19" s="114"/>
      <c r="J19" s="114"/>
      <c r="K19" s="114"/>
      <c r="L19" s="116"/>
      <c r="M19" s="122"/>
      <c r="N19" s="203">
        <v>0.7</v>
      </c>
      <c r="O19" s="115">
        <f t="shared" ref="O19:O20" si="11">F19*N19</f>
        <v>12369.279999999997</v>
      </c>
      <c r="P19" s="116"/>
      <c r="Q19" s="119"/>
      <c r="R19" s="115">
        <f t="shared" si="2"/>
        <v>30923.199999999997</v>
      </c>
      <c r="S19" s="115">
        <f>R19*C19</f>
        <v>30923.199999999997</v>
      </c>
      <c r="T19" s="98">
        <f>(((S19+(S19*14.0135/12/12)))*3/3/29.6)*30</f>
        <v>34391.068856981976</v>
      </c>
      <c r="U19" s="115">
        <f>S19*2</f>
        <v>61846.399999999994</v>
      </c>
      <c r="V19" s="98">
        <f>(S19*14.0135)/12</f>
        <v>36111.855266666666</v>
      </c>
      <c r="W19" s="98"/>
      <c r="X19" s="98"/>
      <c r="Y19" s="115">
        <f t="shared" si="4"/>
        <v>348811.72412364866</v>
      </c>
      <c r="Z19" s="115">
        <f t="shared" si="5"/>
        <v>49501.518411329387</v>
      </c>
      <c r="AA19" s="115">
        <f>Y19+Z19</f>
        <v>398313.24253497802</v>
      </c>
    </row>
    <row r="20" spans="1:27">
      <c r="A20" s="114">
        <v>7</v>
      </c>
      <c r="B20" s="202" t="s">
        <v>192</v>
      </c>
      <c r="C20" s="114">
        <v>1</v>
      </c>
      <c r="D20" s="115">
        <v>7040</v>
      </c>
      <c r="E20" s="120">
        <v>2.5099999999999998</v>
      </c>
      <c r="F20" s="115">
        <f t="shared" si="0"/>
        <v>17670.399999999998</v>
      </c>
      <c r="G20" s="116">
        <v>0.15</v>
      </c>
      <c r="H20" s="115">
        <f t="shared" si="1"/>
        <v>2650.5599999999995</v>
      </c>
      <c r="I20" s="117"/>
      <c r="J20" s="117"/>
      <c r="K20" s="117"/>
      <c r="L20" s="116"/>
      <c r="M20" s="117"/>
      <c r="N20" s="203">
        <v>0.4</v>
      </c>
      <c r="O20" s="115">
        <f t="shared" si="11"/>
        <v>7068.16</v>
      </c>
      <c r="P20" s="117"/>
      <c r="Q20" s="119"/>
      <c r="R20" s="115">
        <f t="shared" si="2"/>
        <v>27389.119999999999</v>
      </c>
      <c r="S20" s="115">
        <f>R20*C20</f>
        <v>27389.119999999999</v>
      </c>
      <c r="T20" s="98">
        <f>(((S20+(S20*14.0135/12/12)))*3/3/29.6)*30</f>
        <v>30460.660987612609</v>
      </c>
      <c r="U20" s="115">
        <f>S20*2</f>
        <v>54778.239999999998</v>
      </c>
      <c r="V20" s="98">
        <f>(S20*14.0135)/12</f>
        <v>31984.786093333332</v>
      </c>
      <c r="W20" s="98"/>
      <c r="X20" s="98"/>
      <c r="Y20" s="115">
        <f t="shared" si="4"/>
        <v>308947.52708094596</v>
      </c>
      <c r="Z20" s="115">
        <f t="shared" si="5"/>
        <v>43844.20202146317</v>
      </c>
      <c r="AA20" s="115">
        <f>Y20+Z20</f>
        <v>352791.72910240915</v>
      </c>
    </row>
    <row r="21" spans="1:27">
      <c r="A21" s="114">
        <v>8</v>
      </c>
      <c r="B21" s="200" t="s">
        <v>193</v>
      </c>
      <c r="C21" s="114">
        <v>1</v>
      </c>
      <c r="D21" s="115">
        <v>7040</v>
      </c>
      <c r="E21" s="120">
        <v>2.5099999999999998</v>
      </c>
      <c r="F21" s="115">
        <f t="shared" si="0"/>
        <v>17670.399999999998</v>
      </c>
      <c r="G21" s="116">
        <v>0.1</v>
      </c>
      <c r="H21" s="115">
        <f>F21*G21</f>
        <v>1767.04</v>
      </c>
      <c r="I21" s="117"/>
      <c r="J21" s="117"/>
      <c r="K21" s="117"/>
      <c r="L21" s="116"/>
      <c r="M21" s="117"/>
      <c r="N21" s="203">
        <v>0.6</v>
      </c>
      <c r="O21" s="115">
        <f>F21*N21</f>
        <v>10602.239999999998</v>
      </c>
      <c r="P21" s="117"/>
      <c r="Q21" s="119"/>
      <c r="R21" s="115">
        <f t="shared" si="2"/>
        <v>30039.679999999997</v>
      </c>
      <c r="S21" s="115">
        <f>R21*C21</f>
        <v>30039.679999999997</v>
      </c>
      <c r="T21" s="98">
        <f>(((S21+(S21*14.0135/12/12)))*3/3/29.6)*30</f>
        <v>33408.46688963964</v>
      </c>
      <c r="U21" s="115">
        <f>S21*2</f>
        <v>60079.359999999993</v>
      </c>
      <c r="V21" s="98">
        <f>(S21*14.0135)/12</f>
        <v>35080.087973333335</v>
      </c>
      <c r="W21" s="98"/>
      <c r="X21" s="98"/>
      <c r="Y21" s="115">
        <f t="shared" si="4"/>
        <v>338845.67486297293</v>
      </c>
      <c r="Z21" s="115">
        <f t="shared" si="5"/>
        <v>48087.189313862829</v>
      </c>
      <c r="AA21" s="115">
        <f>Y21+Z21</f>
        <v>386932.86417683575</v>
      </c>
    </row>
    <row r="22" spans="1:27">
      <c r="A22" s="94"/>
      <c r="B22" s="94" t="s">
        <v>194</v>
      </c>
      <c r="C22" s="123">
        <f>SUM(C14:C21)</f>
        <v>8</v>
      </c>
      <c r="D22" s="124">
        <f>SUM(D14:D21)</f>
        <v>56320</v>
      </c>
      <c r="E22" s="123"/>
      <c r="F22" s="124">
        <f>SUM(F14:F21)</f>
        <v>164806.39999999997</v>
      </c>
      <c r="G22" s="123"/>
      <c r="H22" s="124">
        <f t="shared" ref="H22:M22" si="12">SUM(H14:H21)</f>
        <v>30433.919999999998</v>
      </c>
      <c r="I22" s="123">
        <f t="shared" si="12"/>
        <v>0</v>
      </c>
      <c r="J22" s="123">
        <f t="shared" si="12"/>
        <v>0</v>
      </c>
      <c r="K22" s="123">
        <f t="shared" si="12"/>
        <v>0</v>
      </c>
      <c r="L22" s="123">
        <f t="shared" si="12"/>
        <v>0</v>
      </c>
      <c r="M22" s="125">
        <f t="shared" si="12"/>
        <v>0</v>
      </c>
      <c r="N22" s="123"/>
      <c r="O22" s="124">
        <f t="shared" ref="O22:V22" si="13">SUM(O14:O21)</f>
        <v>64049.919999999991</v>
      </c>
      <c r="P22" s="123">
        <f t="shared" si="13"/>
        <v>0</v>
      </c>
      <c r="Q22" s="124">
        <f t="shared" si="13"/>
        <v>0</v>
      </c>
      <c r="R22" s="124">
        <f t="shared" si="13"/>
        <v>259290.23999999999</v>
      </c>
      <c r="S22" s="124">
        <f t="shared" si="13"/>
        <v>259290.23999999999</v>
      </c>
      <c r="T22" s="124">
        <f t="shared" si="13"/>
        <v>288368.23154729727</v>
      </c>
      <c r="U22" s="124">
        <f t="shared" si="13"/>
        <v>518580.47999999998</v>
      </c>
      <c r="V22" s="124">
        <f t="shared" si="13"/>
        <v>302796.98151999997</v>
      </c>
      <c r="W22" s="124"/>
      <c r="X22" s="124"/>
      <c r="Y22" s="124">
        <f>SUM(Y14:Y21)</f>
        <v>2924777.3730672975</v>
      </c>
      <c r="Z22" s="124">
        <f>SUM(Z14:Z21)</f>
        <v>415068.96405410871</v>
      </c>
      <c r="AA22" s="124">
        <f>SUM(AA14:AA21)</f>
        <v>3339846.3371214061</v>
      </c>
    </row>
    <row r="23" spans="1:27">
      <c r="A23" s="363" t="s">
        <v>210</v>
      </c>
      <c r="B23" s="364"/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5"/>
    </row>
    <row r="24" spans="1:27" ht="15" customHeight="1">
      <c r="A24" s="114">
        <v>1</v>
      </c>
      <c r="B24" s="200" t="s">
        <v>186</v>
      </c>
      <c r="C24" s="114">
        <v>1</v>
      </c>
      <c r="D24" s="115">
        <v>7040</v>
      </c>
      <c r="E24" s="201">
        <v>4</v>
      </c>
      <c r="F24" s="115">
        <f t="shared" ref="F24:F31" si="14">+D24*E24</f>
        <v>28160</v>
      </c>
      <c r="G24" s="116">
        <v>0.15</v>
      </c>
      <c r="H24" s="115">
        <f t="shared" ref="H24:H30" si="15">F24*G24</f>
        <v>4224</v>
      </c>
      <c r="I24" s="117"/>
      <c r="J24" s="117"/>
      <c r="K24" s="117"/>
      <c r="L24" s="116"/>
      <c r="M24" s="117"/>
      <c r="N24" s="118">
        <v>0.3</v>
      </c>
      <c r="O24" s="115">
        <f>F24*0.3</f>
        <v>8448</v>
      </c>
      <c r="P24" s="117"/>
      <c r="Q24" s="119"/>
      <c r="R24" s="115">
        <f t="shared" ref="R24:R31" si="16">+F24+H24+M24+O24+Q24</f>
        <v>40832</v>
      </c>
      <c r="S24" s="115">
        <f>R24*C24</f>
        <v>40832</v>
      </c>
      <c r="T24" s="98">
        <f t="shared" ref="T24:T27" si="17">(((S24+(S24*14.0135/12/12)))*3/3/29.6)*30</f>
        <v>45411.086936936925</v>
      </c>
      <c r="U24" s="115">
        <f>S24*2</f>
        <v>81664</v>
      </c>
      <c r="V24" s="98">
        <f>(S24*14.0135)/12</f>
        <v>47683.269333333337</v>
      </c>
      <c r="W24" s="98"/>
      <c r="X24" s="98"/>
      <c r="Y24" s="115">
        <f t="shared" ref="Y24:Y31" si="18">(S24*7)+T24+U24+V24</f>
        <v>460582.35627027031</v>
      </c>
      <c r="Z24" s="115">
        <f t="shared" ref="Z24:Z31" si="19">((S24*7)+T24+V24)*0.1725</f>
        <v>65363.41645662162</v>
      </c>
      <c r="AA24" s="115">
        <f>Y24+Z24</f>
        <v>525945.77272689191</v>
      </c>
    </row>
    <row r="25" spans="1:27">
      <c r="A25" s="114">
        <v>2</v>
      </c>
      <c r="B25" s="200" t="s">
        <v>187</v>
      </c>
      <c r="C25" s="114">
        <v>1</v>
      </c>
      <c r="D25" s="115">
        <v>7040</v>
      </c>
      <c r="E25" s="120">
        <v>3.22</v>
      </c>
      <c r="F25" s="115">
        <f t="shared" si="14"/>
        <v>22668.800000000003</v>
      </c>
      <c r="G25" s="116">
        <v>0.25</v>
      </c>
      <c r="H25" s="115">
        <f t="shared" si="15"/>
        <v>5667.2000000000007</v>
      </c>
      <c r="I25" s="117"/>
      <c r="J25" s="117"/>
      <c r="K25" s="117"/>
      <c r="L25" s="116"/>
      <c r="M25" s="117"/>
      <c r="N25" s="203">
        <v>0.4</v>
      </c>
      <c r="O25" s="115">
        <f>F25*N25</f>
        <v>9067.5200000000023</v>
      </c>
      <c r="P25" s="117"/>
      <c r="Q25" s="119"/>
      <c r="R25" s="115">
        <f t="shared" si="16"/>
        <v>37403.520000000004</v>
      </c>
      <c r="S25" s="115">
        <f>R25*C25</f>
        <v>37403.520000000004</v>
      </c>
      <c r="T25" s="98">
        <f>(((S25+(S25*14.0135/12/12)))*3/3/29.6)*30</f>
        <v>41598.121533783786</v>
      </c>
      <c r="U25" s="115">
        <f>S25*2</f>
        <v>74807.040000000008</v>
      </c>
      <c r="V25" s="98">
        <f>(S25*14.0135)/12</f>
        <v>43679.518960000009</v>
      </c>
      <c r="W25" s="98"/>
      <c r="X25" s="98"/>
      <c r="Y25" s="115">
        <f t="shared" si="18"/>
        <v>421909.3204937838</v>
      </c>
      <c r="Z25" s="115">
        <f t="shared" si="19"/>
        <v>59875.143385177704</v>
      </c>
      <c r="AA25" s="115">
        <f>Y25+Z25</f>
        <v>481784.46387896151</v>
      </c>
    </row>
    <row r="26" spans="1:27">
      <c r="A26" s="114">
        <v>3</v>
      </c>
      <c r="B26" s="200" t="s">
        <v>188</v>
      </c>
      <c r="C26" s="114">
        <v>1</v>
      </c>
      <c r="D26" s="115">
        <v>7040</v>
      </c>
      <c r="E26" s="120">
        <v>3.22</v>
      </c>
      <c r="F26" s="115">
        <f t="shared" si="14"/>
        <v>22668.800000000003</v>
      </c>
      <c r="G26" s="116">
        <v>0.25</v>
      </c>
      <c r="H26" s="115">
        <f t="shared" si="15"/>
        <v>5667.2000000000007</v>
      </c>
      <c r="I26" s="117"/>
      <c r="J26" s="117"/>
      <c r="K26" s="117"/>
      <c r="L26" s="116"/>
      <c r="M26" s="117"/>
      <c r="N26" s="203">
        <v>0.2</v>
      </c>
      <c r="O26" s="115">
        <f>F26*N26</f>
        <v>4533.7600000000011</v>
      </c>
      <c r="P26" s="117"/>
      <c r="Q26" s="119"/>
      <c r="R26" s="115">
        <f t="shared" si="16"/>
        <v>32869.760000000002</v>
      </c>
      <c r="S26" s="115">
        <f>R26*C26</f>
        <v>32869.760000000002</v>
      </c>
      <c r="T26" s="98">
        <f>(((S26+(S26*14.0135/12/12)))*3/3/29.6)*30</f>
        <v>36555.92498423424</v>
      </c>
      <c r="U26" s="115">
        <f>S26*2</f>
        <v>65739.520000000004</v>
      </c>
      <c r="V26" s="98">
        <f>(S26*14.0135)/12</f>
        <v>38385.031813333335</v>
      </c>
      <c r="W26" s="98"/>
      <c r="X26" s="98"/>
      <c r="Y26" s="115">
        <f t="shared" si="18"/>
        <v>370768.79679756757</v>
      </c>
      <c r="Z26" s="115">
        <f t="shared" si="19"/>
        <v>52617.550247580402</v>
      </c>
      <c r="AA26" s="115">
        <f>Y26+Z26</f>
        <v>423386.34704514797</v>
      </c>
    </row>
    <row r="27" spans="1:27" ht="15" customHeight="1">
      <c r="A27" s="114">
        <v>4</v>
      </c>
      <c r="B27" s="200" t="s">
        <v>189</v>
      </c>
      <c r="C27" s="114">
        <v>1</v>
      </c>
      <c r="D27" s="115">
        <v>7040</v>
      </c>
      <c r="E27" s="120">
        <v>2.56</v>
      </c>
      <c r="F27" s="115">
        <f t="shared" si="14"/>
        <v>18022.400000000001</v>
      </c>
      <c r="G27" s="116">
        <v>0.1</v>
      </c>
      <c r="H27" s="115">
        <f t="shared" si="15"/>
        <v>1802.2400000000002</v>
      </c>
      <c r="I27" s="117"/>
      <c r="J27" s="117"/>
      <c r="K27" s="117"/>
      <c r="L27" s="116"/>
      <c r="M27" s="117"/>
      <c r="N27" s="203">
        <v>0.37</v>
      </c>
      <c r="O27" s="115">
        <f>+N27*F27</f>
        <v>6668.2880000000005</v>
      </c>
      <c r="P27" s="117"/>
      <c r="Q27" s="119"/>
      <c r="R27" s="115">
        <f t="shared" si="16"/>
        <v>26492.928000000004</v>
      </c>
      <c r="S27" s="115">
        <f t="shared" ref="S27" si="20">R27*C27</f>
        <v>26492.928000000004</v>
      </c>
      <c r="T27" s="98">
        <f t="shared" si="17"/>
        <v>29463.96592432433</v>
      </c>
      <c r="U27" s="115">
        <f t="shared" ref="U27" si="21">S27*2</f>
        <v>52985.856000000007</v>
      </c>
      <c r="V27" s="98">
        <f t="shared" ref="V27" si="22">(S27*14.0135)/12</f>
        <v>30938.220544000007</v>
      </c>
      <c r="W27" s="98"/>
      <c r="X27" s="98"/>
      <c r="Y27" s="115">
        <f t="shared" si="18"/>
        <v>298838.53846832435</v>
      </c>
      <c r="Z27" s="115">
        <f t="shared" si="19"/>
        <v>42409.587725785947</v>
      </c>
      <c r="AA27" s="115">
        <f t="shared" ref="AA27" si="23">Y27+Z27</f>
        <v>341248.12619411031</v>
      </c>
    </row>
    <row r="28" spans="1:27">
      <c r="A28" s="114">
        <v>5</v>
      </c>
      <c r="B28" s="200" t="s">
        <v>190</v>
      </c>
      <c r="C28" s="114">
        <v>1</v>
      </c>
      <c r="D28" s="115">
        <v>7040</v>
      </c>
      <c r="E28" s="120">
        <v>2.56</v>
      </c>
      <c r="F28" s="115">
        <f t="shared" si="14"/>
        <v>18022.400000000001</v>
      </c>
      <c r="G28" s="116">
        <v>0.4</v>
      </c>
      <c r="H28" s="115">
        <f t="shared" si="15"/>
        <v>7208.9600000000009</v>
      </c>
      <c r="I28" s="117"/>
      <c r="J28" s="117"/>
      <c r="K28" s="117"/>
      <c r="L28" s="116"/>
      <c r="M28" s="117"/>
      <c r="N28" s="203">
        <v>0.46</v>
      </c>
      <c r="O28" s="115">
        <f>F28*N28</f>
        <v>8290.3040000000019</v>
      </c>
      <c r="P28" s="117"/>
      <c r="Q28" s="119"/>
      <c r="R28" s="115">
        <f t="shared" si="16"/>
        <v>33521.664000000004</v>
      </c>
      <c r="S28" s="115">
        <f>R28*C28</f>
        <v>33521.664000000004</v>
      </c>
      <c r="T28" s="98">
        <f>(((S28+(S28*14.0135/12/12)))*3/3/29.6)*30</f>
        <v>37280.936475675677</v>
      </c>
      <c r="U28" s="115">
        <f>S28*2</f>
        <v>67043.328000000009</v>
      </c>
      <c r="V28" s="98">
        <f>(S28*14.0135)/12</f>
        <v>39146.319872000007</v>
      </c>
      <c r="W28" s="98"/>
      <c r="X28" s="98"/>
      <c r="Y28" s="115">
        <f t="shared" si="18"/>
        <v>378122.23234767572</v>
      </c>
      <c r="Z28" s="115">
        <f t="shared" si="19"/>
        <v>53661.110999974058</v>
      </c>
      <c r="AA28" s="115">
        <f>Y28+Z28</f>
        <v>431783.34334764979</v>
      </c>
    </row>
    <row r="29" spans="1:27">
      <c r="A29" s="114">
        <v>6</v>
      </c>
      <c r="B29" s="202" t="s">
        <v>191</v>
      </c>
      <c r="C29" s="114">
        <v>1</v>
      </c>
      <c r="D29" s="115">
        <v>7040</v>
      </c>
      <c r="E29" s="120">
        <v>2.56</v>
      </c>
      <c r="F29" s="115">
        <f t="shared" si="14"/>
        <v>18022.400000000001</v>
      </c>
      <c r="G29" s="116">
        <v>0.05</v>
      </c>
      <c r="H29" s="115">
        <f t="shared" si="15"/>
        <v>901.12000000000012</v>
      </c>
      <c r="I29" s="114"/>
      <c r="J29" s="114"/>
      <c r="K29" s="114"/>
      <c r="L29" s="116"/>
      <c r="M29" s="122"/>
      <c r="N29" s="203">
        <v>0.67</v>
      </c>
      <c r="O29" s="115">
        <f t="shared" ref="O29:O30" si="24">F29*N29</f>
        <v>12075.008000000002</v>
      </c>
      <c r="P29" s="116"/>
      <c r="Q29" s="119"/>
      <c r="R29" s="115">
        <f t="shared" si="16"/>
        <v>30998.528000000002</v>
      </c>
      <c r="S29" s="115">
        <f>R29*C29</f>
        <v>30998.528000000002</v>
      </c>
      <c r="T29" s="98">
        <f>(((S29+(S29*14.0135/12/12)))*3/3/29.6)*30</f>
        <v>34474.84448288288</v>
      </c>
      <c r="U29" s="115">
        <f>S29*2</f>
        <v>61997.056000000004</v>
      </c>
      <c r="V29" s="98">
        <f>(S29*14.0135)/12</f>
        <v>36199.822677333337</v>
      </c>
      <c r="W29" s="98"/>
      <c r="X29" s="98"/>
      <c r="Y29" s="115">
        <f t="shared" si="18"/>
        <v>349661.41916021623</v>
      </c>
      <c r="Z29" s="115">
        <f t="shared" si="19"/>
        <v>49622.102645137296</v>
      </c>
      <c r="AA29" s="115">
        <f>Y29+Z29</f>
        <v>399283.52180535352</v>
      </c>
    </row>
    <row r="30" spans="1:27">
      <c r="A30" s="114">
        <v>7</v>
      </c>
      <c r="B30" s="202" t="s">
        <v>192</v>
      </c>
      <c r="C30" s="114">
        <v>1</v>
      </c>
      <c r="D30" s="115">
        <v>7040</v>
      </c>
      <c r="E30" s="120">
        <v>2.56</v>
      </c>
      <c r="F30" s="115">
        <f t="shared" si="14"/>
        <v>18022.400000000001</v>
      </c>
      <c r="G30" s="116">
        <v>0.15</v>
      </c>
      <c r="H30" s="115">
        <f t="shared" si="15"/>
        <v>2703.36</v>
      </c>
      <c r="I30" s="117"/>
      <c r="J30" s="117"/>
      <c r="K30" s="117"/>
      <c r="L30" s="116"/>
      <c r="M30" s="117"/>
      <c r="N30" s="203">
        <v>0.37</v>
      </c>
      <c r="O30" s="115">
        <f t="shared" si="24"/>
        <v>6668.2880000000005</v>
      </c>
      <c r="P30" s="117"/>
      <c r="Q30" s="119"/>
      <c r="R30" s="115">
        <f t="shared" si="16"/>
        <v>27394.048000000003</v>
      </c>
      <c r="S30" s="115">
        <f>R30*C30</f>
        <v>27394.048000000003</v>
      </c>
      <c r="T30" s="98">
        <f>(((S30+(S30*14.0135/12/12)))*3/3/29.6)*30</f>
        <v>30466.141636036038</v>
      </c>
      <c r="U30" s="115">
        <f>S30*2</f>
        <v>54788.096000000005</v>
      </c>
      <c r="V30" s="98">
        <f>(S30*14.0135)/12</f>
        <v>31990.540970666669</v>
      </c>
      <c r="W30" s="98"/>
      <c r="X30" s="98"/>
      <c r="Y30" s="115">
        <f t="shared" si="18"/>
        <v>309003.11460670276</v>
      </c>
      <c r="Z30" s="115">
        <f t="shared" si="19"/>
        <v>43852.090709656222</v>
      </c>
      <c r="AA30" s="115">
        <f>Y30+Z30</f>
        <v>352855.205316359</v>
      </c>
    </row>
    <row r="31" spans="1:27">
      <c r="A31" s="114">
        <v>8</v>
      </c>
      <c r="B31" s="200" t="s">
        <v>193</v>
      </c>
      <c r="C31" s="114">
        <v>1</v>
      </c>
      <c r="D31" s="115">
        <v>7040</v>
      </c>
      <c r="E31" s="120">
        <v>2.56</v>
      </c>
      <c r="F31" s="115">
        <f t="shared" si="14"/>
        <v>18022.400000000001</v>
      </c>
      <c r="G31" s="116">
        <v>0.1</v>
      </c>
      <c r="H31" s="115">
        <f>F31*G31</f>
        <v>1802.2400000000002</v>
      </c>
      <c r="I31" s="117"/>
      <c r="J31" s="117"/>
      <c r="K31" s="117"/>
      <c r="L31" s="116"/>
      <c r="M31" s="117"/>
      <c r="N31" s="203">
        <v>0.56999999999999995</v>
      </c>
      <c r="O31" s="115">
        <f>F31*N31</f>
        <v>10272.768</v>
      </c>
      <c r="P31" s="117"/>
      <c r="Q31" s="119"/>
      <c r="R31" s="115">
        <f t="shared" si="16"/>
        <v>30097.408000000003</v>
      </c>
      <c r="S31" s="115">
        <f>R31*C31</f>
        <v>30097.408000000003</v>
      </c>
      <c r="T31" s="98">
        <f>(((S31+(S31*14.0135/12/12)))*3/3/29.6)*30</f>
        <v>33472.668771171171</v>
      </c>
      <c r="U31" s="115">
        <f>S31*2</f>
        <v>60194.816000000006</v>
      </c>
      <c r="V31" s="98">
        <f>(S31*14.0135)/12</f>
        <v>35147.502250666672</v>
      </c>
      <c r="W31" s="98"/>
      <c r="X31" s="98"/>
      <c r="Y31" s="115">
        <f t="shared" si="18"/>
        <v>339496.84302183788</v>
      </c>
      <c r="Z31" s="115">
        <f t="shared" si="19"/>
        <v>48179.599661267035</v>
      </c>
      <c r="AA31" s="115">
        <f>Y31+Z31</f>
        <v>387676.44268310489</v>
      </c>
    </row>
    <row r="32" spans="1:27">
      <c r="A32" s="94"/>
      <c r="B32" s="94" t="s">
        <v>194</v>
      </c>
      <c r="C32" s="123">
        <f>SUM(C24:C31)</f>
        <v>8</v>
      </c>
      <c r="D32" s="124">
        <f>SUM(D24:D31)</f>
        <v>56320</v>
      </c>
      <c r="E32" s="123"/>
      <c r="F32" s="124">
        <f>SUM(F24:F31)</f>
        <v>163609.59999999998</v>
      </c>
      <c r="G32" s="123"/>
      <c r="H32" s="124">
        <f t="shared" ref="H32:M32" si="25">SUM(H24:H31)</f>
        <v>29976.320000000007</v>
      </c>
      <c r="I32" s="123">
        <f t="shared" si="25"/>
        <v>0</v>
      </c>
      <c r="J32" s="123">
        <f t="shared" si="25"/>
        <v>0</v>
      </c>
      <c r="K32" s="123">
        <f t="shared" si="25"/>
        <v>0</v>
      </c>
      <c r="L32" s="123">
        <f t="shared" si="25"/>
        <v>0</v>
      </c>
      <c r="M32" s="125">
        <f t="shared" si="25"/>
        <v>0</v>
      </c>
      <c r="N32" s="123"/>
      <c r="O32" s="124">
        <f t="shared" ref="O32:V32" si="26">SUM(O24:O31)</f>
        <v>66023.936000000016</v>
      </c>
      <c r="P32" s="123">
        <f t="shared" si="26"/>
        <v>0</v>
      </c>
      <c r="Q32" s="124">
        <f t="shared" si="26"/>
        <v>0</v>
      </c>
      <c r="R32" s="124">
        <f t="shared" si="26"/>
        <v>259609.85600000003</v>
      </c>
      <c r="S32" s="124">
        <f t="shared" si="26"/>
        <v>259609.85600000003</v>
      </c>
      <c r="T32" s="124">
        <f t="shared" si="26"/>
        <v>288723.69074504502</v>
      </c>
      <c r="U32" s="124">
        <f t="shared" si="26"/>
        <v>519219.71200000006</v>
      </c>
      <c r="V32" s="124">
        <f t="shared" si="26"/>
        <v>303170.22642133338</v>
      </c>
      <c r="W32" s="124"/>
      <c r="X32" s="124"/>
      <c r="Y32" s="124">
        <f>SUM(Y24:Y31)</f>
        <v>2928382.6211663787</v>
      </c>
      <c r="Z32" s="124">
        <f>SUM(Z24:Z31)</f>
        <v>415580.60183120024</v>
      </c>
      <c r="AA32" s="124">
        <f>SUM(AA24:AA31)</f>
        <v>3343963.2229975793</v>
      </c>
    </row>
    <row r="33" spans="2:27">
      <c r="Y33" s="126"/>
    </row>
    <row r="34" spans="2:27">
      <c r="B34" s="44"/>
      <c r="Y34" s="127"/>
      <c r="Z34" s="127"/>
      <c r="AA34" s="127"/>
    </row>
    <row r="35" spans="2:27">
      <c r="B35" s="324" t="s">
        <v>302</v>
      </c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  <c r="T35" s="324"/>
      <c r="U35" s="324"/>
      <c r="Y35" s="126"/>
      <c r="Z35" s="126"/>
    </row>
    <row r="36" spans="2:27">
      <c r="Y36" s="126"/>
      <c r="Z36" s="126"/>
    </row>
    <row r="37" spans="2:27">
      <c r="Y37" s="126"/>
      <c r="Z37" s="126"/>
    </row>
  </sheetData>
  <mergeCells count="23">
    <mergeCell ref="A23:AA23"/>
    <mergeCell ref="G10:H10"/>
    <mergeCell ref="J10:K10"/>
    <mergeCell ref="L10:M10"/>
    <mergeCell ref="N10:O10"/>
    <mergeCell ref="P10:Q10"/>
    <mergeCell ref="A13:AA13"/>
    <mergeCell ref="T9:T10"/>
    <mergeCell ref="U9:U10"/>
    <mergeCell ref="V9:V10"/>
    <mergeCell ref="Y9:Y10"/>
    <mergeCell ref="Z9:Z10"/>
    <mergeCell ref="AA9:AA10"/>
    <mergeCell ref="A7:AA7"/>
    <mergeCell ref="A9:A11"/>
    <mergeCell ref="B9:B11"/>
    <mergeCell ref="C9:C11"/>
    <mergeCell ref="D9:D11"/>
    <mergeCell ref="E9:E11"/>
    <mergeCell ref="F9:F11"/>
    <mergeCell ref="G9:Q9"/>
    <mergeCell ref="R9:R10"/>
    <mergeCell ref="S9:S10"/>
  </mergeCells>
  <pageMargins left="0.39370078740157483" right="0.39370078740157483" top="0.39370078740157483" bottom="0.39370078740157483" header="0.31496062992125984" footer="0.31496062992125984"/>
  <pageSetup paperSize="9" scale="80" fitToHeight="0" orientation="landscape" horizontalDpi="12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C755-1DB0-4F7F-A0FD-37286CDF9BF6}">
  <sheetPr>
    <tabColor rgb="FF92D050"/>
    <pageSetUpPr fitToPage="1"/>
  </sheetPr>
  <dimension ref="A1:Z28"/>
  <sheetViews>
    <sheetView workbookViewId="0">
      <selection activeCell="U28" sqref="B28:U28"/>
    </sheetView>
  </sheetViews>
  <sheetFormatPr defaultRowHeight="12.75"/>
  <cols>
    <col min="1" max="1" width="4.5703125" style="112" customWidth="1"/>
    <col min="2" max="2" width="27.7109375" style="112" customWidth="1"/>
    <col min="3" max="3" width="3.7109375" style="112" customWidth="1"/>
    <col min="4" max="4" width="7.7109375" style="112" customWidth="1"/>
    <col min="5" max="5" width="5.85546875" style="112" customWidth="1"/>
    <col min="6" max="6" width="7.7109375" style="112" customWidth="1"/>
    <col min="7" max="7" width="5.85546875" style="112" customWidth="1"/>
    <col min="8" max="8" width="7.5703125" style="112" customWidth="1"/>
    <col min="9" max="9" width="6.28515625" style="112" hidden="1" customWidth="1"/>
    <col min="10" max="10" width="4.7109375" style="112" hidden="1" customWidth="1"/>
    <col min="11" max="11" width="5.140625" style="112" hidden="1" customWidth="1"/>
    <col min="12" max="12" width="5" style="112" hidden="1" customWidth="1"/>
    <col min="13" max="13" width="9" style="112" hidden="1" customWidth="1"/>
    <col min="14" max="14" width="5" style="112" customWidth="1"/>
    <col min="15" max="15" width="7.7109375" style="112" customWidth="1"/>
    <col min="16" max="16" width="4.7109375" style="112" customWidth="1"/>
    <col min="17" max="17" width="6.5703125" style="112" customWidth="1"/>
    <col min="18" max="18" width="8.140625" style="112" customWidth="1"/>
    <col min="19" max="22" width="9" style="112" customWidth="1"/>
    <col min="23" max="23" width="9.7109375" style="112" customWidth="1"/>
    <col min="24" max="24" width="9" style="112" customWidth="1"/>
    <col min="25" max="25" width="10.140625" style="112" customWidth="1"/>
    <col min="26" max="252" width="8.85546875" style="112"/>
    <col min="253" max="253" width="4.5703125" style="112" customWidth="1"/>
    <col min="254" max="254" width="23.42578125" style="112" customWidth="1"/>
    <col min="255" max="255" width="7.7109375" style="112" customWidth="1"/>
    <col min="256" max="256" width="9.28515625" style="112" customWidth="1"/>
    <col min="257" max="258" width="7.28515625" style="112" customWidth="1"/>
    <col min="259" max="259" width="9.85546875" style="112" customWidth="1"/>
    <col min="260" max="260" width="5.85546875" style="112" customWidth="1"/>
    <col min="261" max="261" width="6.28515625" style="112" customWidth="1"/>
    <col min="262" max="262" width="8" style="112" customWidth="1"/>
    <col min="263" max="263" width="9.5703125" style="112" customWidth="1"/>
    <col min="264" max="264" width="11.42578125" style="112" customWidth="1"/>
    <col min="265" max="265" width="10.42578125" style="112" customWidth="1"/>
    <col min="266" max="266" width="11.85546875" style="112" customWidth="1"/>
    <col min="267" max="267" width="12" style="112" customWidth="1"/>
    <col min="268" max="269" width="0" style="112" hidden="1" customWidth="1"/>
    <col min="270" max="270" width="11.7109375" style="112" customWidth="1"/>
    <col min="271" max="508" width="8.85546875" style="112"/>
    <col min="509" max="509" width="4.5703125" style="112" customWidth="1"/>
    <col min="510" max="510" width="23.42578125" style="112" customWidth="1"/>
    <col min="511" max="511" width="7.7109375" style="112" customWidth="1"/>
    <col min="512" max="512" width="9.28515625" style="112" customWidth="1"/>
    <col min="513" max="514" width="7.28515625" style="112" customWidth="1"/>
    <col min="515" max="515" width="9.85546875" style="112" customWidth="1"/>
    <col min="516" max="516" width="5.85546875" style="112" customWidth="1"/>
    <col min="517" max="517" width="6.28515625" style="112" customWidth="1"/>
    <col min="518" max="518" width="8" style="112" customWidth="1"/>
    <col min="519" max="519" width="9.5703125" style="112" customWidth="1"/>
    <col min="520" max="520" width="11.42578125" style="112" customWidth="1"/>
    <col min="521" max="521" width="10.42578125" style="112" customWidth="1"/>
    <col min="522" max="522" width="11.85546875" style="112" customWidth="1"/>
    <col min="523" max="523" width="12" style="112" customWidth="1"/>
    <col min="524" max="525" width="0" style="112" hidden="1" customWidth="1"/>
    <col min="526" max="526" width="11.7109375" style="112" customWidth="1"/>
    <col min="527" max="764" width="8.85546875" style="112"/>
    <col min="765" max="765" width="4.5703125" style="112" customWidth="1"/>
    <col min="766" max="766" width="23.42578125" style="112" customWidth="1"/>
    <col min="767" max="767" width="7.7109375" style="112" customWidth="1"/>
    <col min="768" max="768" width="9.28515625" style="112" customWidth="1"/>
    <col min="769" max="770" width="7.28515625" style="112" customWidth="1"/>
    <col min="771" max="771" width="9.85546875" style="112" customWidth="1"/>
    <col min="772" max="772" width="5.85546875" style="112" customWidth="1"/>
    <col min="773" max="773" width="6.28515625" style="112" customWidth="1"/>
    <col min="774" max="774" width="8" style="112" customWidth="1"/>
    <col min="775" max="775" width="9.5703125" style="112" customWidth="1"/>
    <col min="776" max="776" width="11.42578125" style="112" customWidth="1"/>
    <col min="777" max="777" width="10.42578125" style="112" customWidth="1"/>
    <col min="778" max="778" width="11.85546875" style="112" customWidth="1"/>
    <col min="779" max="779" width="12" style="112" customWidth="1"/>
    <col min="780" max="781" width="0" style="112" hidden="1" customWidth="1"/>
    <col min="782" max="782" width="11.7109375" style="112" customWidth="1"/>
    <col min="783" max="1020" width="8.85546875" style="112"/>
    <col min="1021" max="1021" width="4.5703125" style="112" customWidth="1"/>
    <col min="1022" max="1022" width="23.42578125" style="112" customWidth="1"/>
    <col min="1023" max="1023" width="7.7109375" style="112" customWidth="1"/>
    <col min="1024" max="1024" width="9.28515625" style="112" customWidth="1"/>
    <col min="1025" max="1026" width="7.28515625" style="112" customWidth="1"/>
    <col min="1027" max="1027" width="9.85546875" style="112" customWidth="1"/>
    <col min="1028" max="1028" width="5.85546875" style="112" customWidth="1"/>
    <col min="1029" max="1029" width="6.28515625" style="112" customWidth="1"/>
    <col min="1030" max="1030" width="8" style="112" customWidth="1"/>
    <col min="1031" max="1031" width="9.5703125" style="112" customWidth="1"/>
    <col min="1032" max="1032" width="11.42578125" style="112" customWidth="1"/>
    <col min="1033" max="1033" width="10.42578125" style="112" customWidth="1"/>
    <col min="1034" max="1034" width="11.85546875" style="112" customWidth="1"/>
    <col min="1035" max="1035" width="12" style="112" customWidth="1"/>
    <col min="1036" max="1037" width="0" style="112" hidden="1" customWidth="1"/>
    <col min="1038" max="1038" width="11.7109375" style="112" customWidth="1"/>
    <col min="1039" max="1276" width="8.85546875" style="112"/>
    <col min="1277" max="1277" width="4.5703125" style="112" customWidth="1"/>
    <col min="1278" max="1278" width="23.42578125" style="112" customWidth="1"/>
    <col min="1279" max="1279" width="7.7109375" style="112" customWidth="1"/>
    <col min="1280" max="1280" width="9.28515625" style="112" customWidth="1"/>
    <col min="1281" max="1282" width="7.28515625" style="112" customWidth="1"/>
    <col min="1283" max="1283" width="9.85546875" style="112" customWidth="1"/>
    <col min="1284" max="1284" width="5.85546875" style="112" customWidth="1"/>
    <col min="1285" max="1285" width="6.28515625" style="112" customWidth="1"/>
    <col min="1286" max="1286" width="8" style="112" customWidth="1"/>
    <col min="1287" max="1287" width="9.5703125" style="112" customWidth="1"/>
    <col min="1288" max="1288" width="11.42578125" style="112" customWidth="1"/>
    <col min="1289" max="1289" width="10.42578125" style="112" customWidth="1"/>
    <col min="1290" max="1290" width="11.85546875" style="112" customWidth="1"/>
    <col min="1291" max="1291" width="12" style="112" customWidth="1"/>
    <col min="1292" max="1293" width="0" style="112" hidden="1" customWidth="1"/>
    <col min="1294" max="1294" width="11.7109375" style="112" customWidth="1"/>
    <col min="1295" max="1532" width="8.85546875" style="112"/>
    <col min="1533" max="1533" width="4.5703125" style="112" customWidth="1"/>
    <col min="1534" max="1534" width="23.42578125" style="112" customWidth="1"/>
    <col min="1535" max="1535" width="7.7109375" style="112" customWidth="1"/>
    <col min="1536" max="1536" width="9.28515625" style="112" customWidth="1"/>
    <col min="1537" max="1538" width="7.28515625" style="112" customWidth="1"/>
    <col min="1539" max="1539" width="9.85546875" style="112" customWidth="1"/>
    <col min="1540" max="1540" width="5.85546875" style="112" customWidth="1"/>
    <col min="1541" max="1541" width="6.28515625" style="112" customWidth="1"/>
    <col min="1542" max="1542" width="8" style="112" customWidth="1"/>
    <col min="1543" max="1543" width="9.5703125" style="112" customWidth="1"/>
    <col min="1544" max="1544" width="11.42578125" style="112" customWidth="1"/>
    <col min="1545" max="1545" width="10.42578125" style="112" customWidth="1"/>
    <col min="1546" max="1546" width="11.85546875" style="112" customWidth="1"/>
    <col min="1547" max="1547" width="12" style="112" customWidth="1"/>
    <col min="1548" max="1549" width="0" style="112" hidden="1" customWidth="1"/>
    <col min="1550" max="1550" width="11.7109375" style="112" customWidth="1"/>
    <col min="1551" max="1788" width="8.85546875" style="112"/>
    <col min="1789" max="1789" width="4.5703125" style="112" customWidth="1"/>
    <col min="1790" max="1790" width="23.42578125" style="112" customWidth="1"/>
    <col min="1791" max="1791" width="7.7109375" style="112" customWidth="1"/>
    <col min="1792" max="1792" width="9.28515625" style="112" customWidth="1"/>
    <col min="1793" max="1794" width="7.28515625" style="112" customWidth="1"/>
    <col min="1795" max="1795" width="9.85546875" style="112" customWidth="1"/>
    <col min="1796" max="1796" width="5.85546875" style="112" customWidth="1"/>
    <col min="1797" max="1797" width="6.28515625" style="112" customWidth="1"/>
    <col min="1798" max="1798" width="8" style="112" customWidth="1"/>
    <col min="1799" max="1799" width="9.5703125" style="112" customWidth="1"/>
    <col min="1800" max="1800" width="11.42578125" style="112" customWidth="1"/>
    <col min="1801" max="1801" width="10.42578125" style="112" customWidth="1"/>
    <col min="1802" max="1802" width="11.85546875" style="112" customWidth="1"/>
    <col min="1803" max="1803" width="12" style="112" customWidth="1"/>
    <col min="1804" max="1805" width="0" style="112" hidden="1" customWidth="1"/>
    <col min="1806" max="1806" width="11.7109375" style="112" customWidth="1"/>
    <col min="1807" max="2044" width="8.85546875" style="112"/>
    <col min="2045" max="2045" width="4.5703125" style="112" customWidth="1"/>
    <col min="2046" max="2046" width="23.42578125" style="112" customWidth="1"/>
    <col min="2047" max="2047" width="7.7109375" style="112" customWidth="1"/>
    <col min="2048" max="2048" width="9.28515625" style="112" customWidth="1"/>
    <col min="2049" max="2050" width="7.28515625" style="112" customWidth="1"/>
    <col min="2051" max="2051" width="9.85546875" style="112" customWidth="1"/>
    <col min="2052" max="2052" width="5.85546875" style="112" customWidth="1"/>
    <col min="2053" max="2053" width="6.28515625" style="112" customWidth="1"/>
    <col min="2054" max="2054" width="8" style="112" customWidth="1"/>
    <col min="2055" max="2055" width="9.5703125" style="112" customWidth="1"/>
    <col min="2056" max="2056" width="11.42578125" style="112" customWidth="1"/>
    <col min="2057" max="2057" width="10.42578125" style="112" customWidth="1"/>
    <col min="2058" max="2058" width="11.85546875" style="112" customWidth="1"/>
    <col min="2059" max="2059" width="12" style="112" customWidth="1"/>
    <col min="2060" max="2061" width="0" style="112" hidden="1" customWidth="1"/>
    <col min="2062" max="2062" width="11.7109375" style="112" customWidth="1"/>
    <col min="2063" max="2300" width="8.85546875" style="112"/>
    <col min="2301" max="2301" width="4.5703125" style="112" customWidth="1"/>
    <col min="2302" max="2302" width="23.42578125" style="112" customWidth="1"/>
    <col min="2303" max="2303" width="7.7109375" style="112" customWidth="1"/>
    <col min="2304" max="2304" width="9.28515625" style="112" customWidth="1"/>
    <col min="2305" max="2306" width="7.28515625" style="112" customWidth="1"/>
    <col min="2307" max="2307" width="9.85546875" style="112" customWidth="1"/>
    <col min="2308" max="2308" width="5.85546875" style="112" customWidth="1"/>
    <col min="2309" max="2309" width="6.28515625" style="112" customWidth="1"/>
    <col min="2310" max="2310" width="8" style="112" customWidth="1"/>
    <col min="2311" max="2311" width="9.5703125" style="112" customWidth="1"/>
    <col min="2312" max="2312" width="11.42578125" style="112" customWidth="1"/>
    <col min="2313" max="2313" width="10.42578125" style="112" customWidth="1"/>
    <col min="2314" max="2314" width="11.85546875" style="112" customWidth="1"/>
    <col min="2315" max="2315" width="12" style="112" customWidth="1"/>
    <col min="2316" max="2317" width="0" style="112" hidden="1" customWidth="1"/>
    <col min="2318" max="2318" width="11.7109375" style="112" customWidth="1"/>
    <col min="2319" max="2556" width="8.85546875" style="112"/>
    <col min="2557" max="2557" width="4.5703125" style="112" customWidth="1"/>
    <col min="2558" max="2558" width="23.42578125" style="112" customWidth="1"/>
    <col min="2559" max="2559" width="7.7109375" style="112" customWidth="1"/>
    <col min="2560" max="2560" width="9.28515625" style="112" customWidth="1"/>
    <col min="2561" max="2562" width="7.28515625" style="112" customWidth="1"/>
    <col min="2563" max="2563" width="9.85546875" style="112" customWidth="1"/>
    <col min="2564" max="2564" width="5.85546875" style="112" customWidth="1"/>
    <col min="2565" max="2565" width="6.28515625" style="112" customWidth="1"/>
    <col min="2566" max="2566" width="8" style="112" customWidth="1"/>
    <col min="2567" max="2567" width="9.5703125" style="112" customWidth="1"/>
    <col min="2568" max="2568" width="11.42578125" style="112" customWidth="1"/>
    <col min="2569" max="2569" width="10.42578125" style="112" customWidth="1"/>
    <col min="2570" max="2570" width="11.85546875" style="112" customWidth="1"/>
    <col min="2571" max="2571" width="12" style="112" customWidth="1"/>
    <col min="2572" max="2573" width="0" style="112" hidden="1" customWidth="1"/>
    <col min="2574" max="2574" width="11.7109375" style="112" customWidth="1"/>
    <col min="2575" max="2812" width="8.85546875" style="112"/>
    <col min="2813" max="2813" width="4.5703125" style="112" customWidth="1"/>
    <col min="2814" max="2814" width="23.42578125" style="112" customWidth="1"/>
    <col min="2815" max="2815" width="7.7109375" style="112" customWidth="1"/>
    <col min="2816" max="2816" width="9.28515625" style="112" customWidth="1"/>
    <col min="2817" max="2818" width="7.28515625" style="112" customWidth="1"/>
    <col min="2819" max="2819" width="9.85546875" style="112" customWidth="1"/>
    <col min="2820" max="2820" width="5.85546875" style="112" customWidth="1"/>
    <col min="2821" max="2821" width="6.28515625" style="112" customWidth="1"/>
    <col min="2822" max="2822" width="8" style="112" customWidth="1"/>
    <col min="2823" max="2823" width="9.5703125" style="112" customWidth="1"/>
    <col min="2824" max="2824" width="11.42578125" style="112" customWidth="1"/>
    <col min="2825" max="2825" width="10.42578125" style="112" customWidth="1"/>
    <col min="2826" max="2826" width="11.85546875" style="112" customWidth="1"/>
    <col min="2827" max="2827" width="12" style="112" customWidth="1"/>
    <col min="2828" max="2829" width="0" style="112" hidden="1" customWidth="1"/>
    <col min="2830" max="2830" width="11.7109375" style="112" customWidth="1"/>
    <col min="2831" max="3068" width="8.85546875" style="112"/>
    <col min="3069" max="3069" width="4.5703125" style="112" customWidth="1"/>
    <col min="3070" max="3070" width="23.42578125" style="112" customWidth="1"/>
    <col min="3071" max="3071" width="7.7109375" style="112" customWidth="1"/>
    <col min="3072" max="3072" width="9.28515625" style="112" customWidth="1"/>
    <col min="3073" max="3074" width="7.28515625" style="112" customWidth="1"/>
    <col min="3075" max="3075" width="9.85546875" style="112" customWidth="1"/>
    <col min="3076" max="3076" width="5.85546875" style="112" customWidth="1"/>
    <col min="3077" max="3077" width="6.28515625" style="112" customWidth="1"/>
    <col min="3078" max="3078" width="8" style="112" customWidth="1"/>
    <col min="3079" max="3079" width="9.5703125" style="112" customWidth="1"/>
    <col min="3080" max="3080" width="11.42578125" style="112" customWidth="1"/>
    <col min="3081" max="3081" width="10.42578125" style="112" customWidth="1"/>
    <col min="3082" max="3082" width="11.85546875" style="112" customWidth="1"/>
    <col min="3083" max="3083" width="12" style="112" customWidth="1"/>
    <col min="3084" max="3085" width="0" style="112" hidden="1" customWidth="1"/>
    <col min="3086" max="3086" width="11.7109375" style="112" customWidth="1"/>
    <col min="3087" max="3324" width="8.85546875" style="112"/>
    <col min="3325" max="3325" width="4.5703125" style="112" customWidth="1"/>
    <col min="3326" max="3326" width="23.42578125" style="112" customWidth="1"/>
    <col min="3327" max="3327" width="7.7109375" style="112" customWidth="1"/>
    <col min="3328" max="3328" width="9.28515625" style="112" customWidth="1"/>
    <col min="3329" max="3330" width="7.28515625" style="112" customWidth="1"/>
    <col min="3331" max="3331" width="9.85546875" style="112" customWidth="1"/>
    <col min="3332" max="3332" width="5.85546875" style="112" customWidth="1"/>
    <col min="3333" max="3333" width="6.28515625" style="112" customWidth="1"/>
    <col min="3334" max="3334" width="8" style="112" customWidth="1"/>
    <col min="3335" max="3335" width="9.5703125" style="112" customWidth="1"/>
    <col min="3336" max="3336" width="11.42578125" style="112" customWidth="1"/>
    <col min="3337" max="3337" width="10.42578125" style="112" customWidth="1"/>
    <col min="3338" max="3338" width="11.85546875" style="112" customWidth="1"/>
    <col min="3339" max="3339" width="12" style="112" customWidth="1"/>
    <col min="3340" max="3341" width="0" style="112" hidden="1" customWidth="1"/>
    <col min="3342" max="3342" width="11.7109375" style="112" customWidth="1"/>
    <col min="3343" max="3580" width="8.85546875" style="112"/>
    <col min="3581" max="3581" width="4.5703125" style="112" customWidth="1"/>
    <col min="3582" max="3582" width="23.42578125" style="112" customWidth="1"/>
    <col min="3583" max="3583" width="7.7109375" style="112" customWidth="1"/>
    <col min="3584" max="3584" width="9.28515625" style="112" customWidth="1"/>
    <col min="3585" max="3586" width="7.28515625" style="112" customWidth="1"/>
    <col min="3587" max="3587" width="9.85546875" style="112" customWidth="1"/>
    <col min="3588" max="3588" width="5.85546875" style="112" customWidth="1"/>
    <col min="3589" max="3589" width="6.28515625" style="112" customWidth="1"/>
    <col min="3590" max="3590" width="8" style="112" customWidth="1"/>
    <col min="3591" max="3591" width="9.5703125" style="112" customWidth="1"/>
    <col min="3592" max="3592" width="11.42578125" style="112" customWidth="1"/>
    <col min="3593" max="3593" width="10.42578125" style="112" customWidth="1"/>
    <col min="3594" max="3594" width="11.85546875" style="112" customWidth="1"/>
    <col min="3595" max="3595" width="12" style="112" customWidth="1"/>
    <col min="3596" max="3597" width="0" style="112" hidden="1" customWidth="1"/>
    <col min="3598" max="3598" width="11.7109375" style="112" customWidth="1"/>
    <col min="3599" max="3836" width="8.85546875" style="112"/>
    <col min="3837" max="3837" width="4.5703125" style="112" customWidth="1"/>
    <col min="3838" max="3838" width="23.42578125" style="112" customWidth="1"/>
    <col min="3839" max="3839" width="7.7109375" style="112" customWidth="1"/>
    <col min="3840" max="3840" width="9.28515625" style="112" customWidth="1"/>
    <col min="3841" max="3842" width="7.28515625" style="112" customWidth="1"/>
    <col min="3843" max="3843" width="9.85546875" style="112" customWidth="1"/>
    <col min="3844" max="3844" width="5.85546875" style="112" customWidth="1"/>
    <col min="3845" max="3845" width="6.28515625" style="112" customWidth="1"/>
    <col min="3846" max="3846" width="8" style="112" customWidth="1"/>
    <col min="3847" max="3847" width="9.5703125" style="112" customWidth="1"/>
    <col min="3848" max="3848" width="11.42578125" style="112" customWidth="1"/>
    <col min="3849" max="3849" width="10.42578125" style="112" customWidth="1"/>
    <col min="3850" max="3850" width="11.85546875" style="112" customWidth="1"/>
    <col min="3851" max="3851" width="12" style="112" customWidth="1"/>
    <col min="3852" max="3853" width="0" style="112" hidden="1" customWidth="1"/>
    <col min="3854" max="3854" width="11.7109375" style="112" customWidth="1"/>
    <col min="3855" max="4092" width="8.85546875" style="112"/>
    <col min="4093" max="4093" width="4.5703125" style="112" customWidth="1"/>
    <col min="4094" max="4094" width="23.42578125" style="112" customWidth="1"/>
    <col min="4095" max="4095" width="7.7109375" style="112" customWidth="1"/>
    <col min="4096" max="4096" width="9.28515625" style="112" customWidth="1"/>
    <col min="4097" max="4098" width="7.28515625" style="112" customWidth="1"/>
    <col min="4099" max="4099" width="9.85546875" style="112" customWidth="1"/>
    <col min="4100" max="4100" width="5.85546875" style="112" customWidth="1"/>
    <col min="4101" max="4101" width="6.28515625" style="112" customWidth="1"/>
    <col min="4102" max="4102" width="8" style="112" customWidth="1"/>
    <col min="4103" max="4103" width="9.5703125" style="112" customWidth="1"/>
    <col min="4104" max="4104" width="11.42578125" style="112" customWidth="1"/>
    <col min="4105" max="4105" width="10.42578125" style="112" customWidth="1"/>
    <col min="4106" max="4106" width="11.85546875" style="112" customWidth="1"/>
    <col min="4107" max="4107" width="12" style="112" customWidth="1"/>
    <col min="4108" max="4109" width="0" style="112" hidden="1" customWidth="1"/>
    <col min="4110" max="4110" width="11.7109375" style="112" customWidth="1"/>
    <col min="4111" max="4348" width="8.85546875" style="112"/>
    <col min="4349" max="4349" width="4.5703125" style="112" customWidth="1"/>
    <col min="4350" max="4350" width="23.42578125" style="112" customWidth="1"/>
    <col min="4351" max="4351" width="7.7109375" style="112" customWidth="1"/>
    <col min="4352" max="4352" width="9.28515625" style="112" customWidth="1"/>
    <col min="4353" max="4354" width="7.28515625" style="112" customWidth="1"/>
    <col min="4355" max="4355" width="9.85546875" style="112" customWidth="1"/>
    <col min="4356" max="4356" width="5.85546875" style="112" customWidth="1"/>
    <col min="4357" max="4357" width="6.28515625" style="112" customWidth="1"/>
    <col min="4358" max="4358" width="8" style="112" customWidth="1"/>
    <col min="4359" max="4359" width="9.5703125" style="112" customWidth="1"/>
    <col min="4360" max="4360" width="11.42578125" style="112" customWidth="1"/>
    <col min="4361" max="4361" width="10.42578125" style="112" customWidth="1"/>
    <col min="4362" max="4362" width="11.85546875" style="112" customWidth="1"/>
    <col min="4363" max="4363" width="12" style="112" customWidth="1"/>
    <col min="4364" max="4365" width="0" style="112" hidden="1" customWidth="1"/>
    <col min="4366" max="4366" width="11.7109375" style="112" customWidth="1"/>
    <col min="4367" max="4604" width="8.85546875" style="112"/>
    <col min="4605" max="4605" width="4.5703125" style="112" customWidth="1"/>
    <col min="4606" max="4606" width="23.42578125" style="112" customWidth="1"/>
    <col min="4607" max="4607" width="7.7109375" style="112" customWidth="1"/>
    <col min="4608" max="4608" width="9.28515625" style="112" customWidth="1"/>
    <col min="4609" max="4610" width="7.28515625" style="112" customWidth="1"/>
    <col min="4611" max="4611" width="9.85546875" style="112" customWidth="1"/>
    <col min="4612" max="4612" width="5.85546875" style="112" customWidth="1"/>
    <col min="4613" max="4613" width="6.28515625" style="112" customWidth="1"/>
    <col min="4614" max="4614" width="8" style="112" customWidth="1"/>
    <col min="4615" max="4615" width="9.5703125" style="112" customWidth="1"/>
    <col min="4616" max="4616" width="11.42578125" style="112" customWidth="1"/>
    <col min="4617" max="4617" width="10.42578125" style="112" customWidth="1"/>
    <col min="4618" max="4618" width="11.85546875" style="112" customWidth="1"/>
    <col min="4619" max="4619" width="12" style="112" customWidth="1"/>
    <col min="4620" max="4621" width="0" style="112" hidden="1" customWidth="1"/>
    <col min="4622" max="4622" width="11.7109375" style="112" customWidth="1"/>
    <col min="4623" max="4860" width="8.85546875" style="112"/>
    <col min="4861" max="4861" width="4.5703125" style="112" customWidth="1"/>
    <col min="4862" max="4862" width="23.42578125" style="112" customWidth="1"/>
    <col min="4863" max="4863" width="7.7109375" style="112" customWidth="1"/>
    <col min="4864" max="4864" width="9.28515625" style="112" customWidth="1"/>
    <col min="4865" max="4866" width="7.28515625" style="112" customWidth="1"/>
    <col min="4867" max="4867" width="9.85546875" style="112" customWidth="1"/>
    <col min="4868" max="4868" width="5.85546875" style="112" customWidth="1"/>
    <col min="4869" max="4869" width="6.28515625" style="112" customWidth="1"/>
    <col min="4870" max="4870" width="8" style="112" customWidth="1"/>
    <col min="4871" max="4871" width="9.5703125" style="112" customWidth="1"/>
    <col min="4872" max="4872" width="11.42578125" style="112" customWidth="1"/>
    <col min="4873" max="4873" width="10.42578125" style="112" customWidth="1"/>
    <col min="4874" max="4874" width="11.85546875" style="112" customWidth="1"/>
    <col min="4875" max="4875" width="12" style="112" customWidth="1"/>
    <col min="4876" max="4877" width="0" style="112" hidden="1" customWidth="1"/>
    <col min="4878" max="4878" width="11.7109375" style="112" customWidth="1"/>
    <col min="4879" max="5116" width="8.85546875" style="112"/>
    <col min="5117" max="5117" width="4.5703125" style="112" customWidth="1"/>
    <col min="5118" max="5118" width="23.42578125" style="112" customWidth="1"/>
    <col min="5119" max="5119" width="7.7109375" style="112" customWidth="1"/>
    <col min="5120" max="5120" width="9.28515625" style="112" customWidth="1"/>
    <col min="5121" max="5122" width="7.28515625" style="112" customWidth="1"/>
    <col min="5123" max="5123" width="9.85546875" style="112" customWidth="1"/>
    <col min="5124" max="5124" width="5.85546875" style="112" customWidth="1"/>
    <col min="5125" max="5125" width="6.28515625" style="112" customWidth="1"/>
    <col min="5126" max="5126" width="8" style="112" customWidth="1"/>
    <col min="5127" max="5127" width="9.5703125" style="112" customWidth="1"/>
    <col min="5128" max="5128" width="11.42578125" style="112" customWidth="1"/>
    <col min="5129" max="5129" width="10.42578125" style="112" customWidth="1"/>
    <col min="5130" max="5130" width="11.85546875" style="112" customWidth="1"/>
    <col min="5131" max="5131" width="12" style="112" customWidth="1"/>
    <col min="5132" max="5133" width="0" style="112" hidden="1" customWidth="1"/>
    <col min="5134" max="5134" width="11.7109375" style="112" customWidth="1"/>
    <col min="5135" max="5372" width="8.85546875" style="112"/>
    <col min="5373" max="5373" width="4.5703125" style="112" customWidth="1"/>
    <col min="5374" max="5374" width="23.42578125" style="112" customWidth="1"/>
    <col min="5375" max="5375" width="7.7109375" style="112" customWidth="1"/>
    <col min="5376" max="5376" width="9.28515625" style="112" customWidth="1"/>
    <col min="5377" max="5378" width="7.28515625" style="112" customWidth="1"/>
    <col min="5379" max="5379" width="9.85546875" style="112" customWidth="1"/>
    <col min="5380" max="5380" width="5.85546875" style="112" customWidth="1"/>
    <col min="5381" max="5381" width="6.28515625" style="112" customWidth="1"/>
    <col min="5382" max="5382" width="8" style="112" customWidth="1"/>
    <col min="5383" max="5383" width="9.5703125" style="112" customWidth="1"/>
    <col min="5384" max="5384" width="11.42578125" style="112" customWidth="1"/>
    <col min="5385" max="5385" width="10.42578125" style="112" customWidth="1"/>
    <col min="5386" max="5386" width="11.85546875" style="112" customWidth="1"/>
    <col min="5387" max="5387" width="12" style="112" customWidth="1"/>
    <col min="5388" max="5389" width="0" style="112" hidden="1" customWidth="1"/>
    <col min="5390" max="5390" width="11.7109375" style="112" customWidth="1"/>
    <col min="5391" max="5628" width="8.85546875" style="112"/>
    <col min="5629" max="5629" width="4.5703125" style="112" customWidth="1"/>
    <col min="5630" max="5630" width="23.42578125" style="112" customWidth="1"/>
    <col min="5631" max="5631" width="7.7109375" style="112" customWidth="1"/>
    <col min="5632" max="5632" width="9.28515625" style="112" customWidth="1"/>
    <col min="5633" max="5634" width="7.28515625" style="112" customWidth="1"/>
    <col min="5635" max="5635" width="9.85546875" style="112" customWidth="1"/>
    <col min="5636" max="5636" width="5.85546875" style="112" customWidth="1"/>
    <col min="5637" max="5637" width="6.28515625" style="112" customWidth="1"/>
    <col min="5638" max="5638" width="8" style="112" customWidth="1"/>
    <col min="5639" max="5639" width="9.5703125" style="112" customWidth="1"/>
    <col min="5640" max="5640" width="11.42578125" style="112" customWidth="1"/>
    <col min="5641" max="5641" width="10.42578125" style="112" customWidth="1"/>
    <col min="5642" max="5642" width="11.85546875" style="112" customWidth="1"/>
    <col min="5643" max="5643" width="12" style="112" customWidth="1"/>
    <col min="5644" max="5645" width="0" style="112" hidden="1" customWidth="1"/>
    <col min="5646" max="5646" width="11.7109375" style="112" customWidth="1"/>
    <col min="5647" max="5884" width="8.85546875" style="112"/>
    <col min="5885" max="5885" width="4.5703125" style="112" customWidth="1"/>
    <col min="5886" max="5886" width="23.42578125" style="112" customWidth="1"/>
    <col min="5887" max="5887" width="7.7109375" style="112" customWidth="1"/>
    <col min="5888" max="5888" width="9.28515625" style="112" customWidth="1"/>
    <col min="5889" max="5890" width="7.28515625" style="112" customWidth="1"/>
    <col min="5891" max="5891" width="9.85546875" style="112" customWidth="1"/>
    <col min="5892" max="5892" width="5.85546875" style="112" customWidth="1"/>
    <col min="5893" max="5893" width="6.28515625" style="112" customWidth="1"/>
    <col min="5894" max="5894" width="8" style="112" customWidth="1"/>
    <col min="5895" max="5895" width="9.5703125" style="112" customWidth="1"/>
    <col min="5896" max="5896" width="11.42578125" style="112" customWidth="1"/>
    <col min="5897" max="5897" width="10.42578125" style="112" customWidth="1"/>
    <col min="5898" max="5898" width="11.85546875" style="112" customWidth="1"/>
    <col min="5899" max="5899" width="12" style="112" customWidth="1"/>
    <col min="5900" max="5901" width="0" style="112" hidden="1" customWidth="1"/>
    <col min="5902" max="5902" width="11.7109375" style="112" customWidth="1"/>
    <col min="5903" max="6140" width="8.85546875" style="112"/>
    <col min="6141" max="6141" width="4.5703125" style="112" customWidth="1"/>
    <col min="6142" max="6142" width="23.42578125" style="112" customWidth="1"/>
    <col min="6143" max="6143" width="7.7109375" style="112" customWidth="1"/>
    <col min="6144" max="6144" width="9.28515625" style="112" customWidth="1"/>
    <col min="6145" max="6146" width="7.28515625" style="112" customWidth="1"/>
    <col min="6147" max="6147" width="9.85546875" style="112" customWidth="1"/>
    <col min="6148" max="6148" width="5.85546875" style="112" customWidth="1"/>
    <col min="6149" max="6149" width="6.28515625" style="112" customWidth="1"/>
    <col min="6150" max="6150" width="8" style="112" customWidth="1"/>
    <col min="6151" max="6151" width="9.5703125" style="112" customWidth="1"/>
    <col min="6152" max="6152" width="11.42578125" style="112" customWidth="1"/>
    <col min="6153" max="6153" width="10.42578125" style="112" customWidth="1"/>
    <col min="6154" max="6154" width="11.85546875" style="112" customWidth="1"/>
    <col min="6155" max="6155" width="12" style="112" customWidth="1"/>
    <col min="6156" max="6157" width="0" style="112" hidden="1" customWidth="1"/>
    <col min="6158" max="6158" width="11.7109375" style="112" customWidth="1"/>
    <col min="6159" max="6396" width="8.85546875" style="112"/>
    <col min="6397" max="6397" width="4.5703125" style="112" customWidth="1"/>
    <col min="6398" max="6398" width="23.42578125" style="112" customWidth="1"/>
    <col min="6399" max="6399" width="7.7109375" style="112" customWidth="1"/>
    <col min="6400" max="6400" width="9.28515625" style="112" customWidth="1"/>
    <col min="6401" max="6402" width="7.28515625" style="112" customWidth="1"/>
    <col min="6403" max="6403" width="9.85546875" style="112" customWidth="1"/>
    <col min="6404" max="6404" width="5.85546875" style="112" customWidth="1"/>
    <col min="6405" max="6405" width="6.28515625" style="112" customWidth="1"/>
    <col min="6406" max="6406" width="8" style="112" customWidth="1"/>
    <col min="6407" max="6407" width="9.5703125" style="112" customWidth="1"/>
    <col min="6408" max="6408" width="11.42578125" style="112" customWidth="1"/>
    <col min="6409" max="6409" width="10.42578125" style="112" customWidth="1"/>
    <col min="6410" max="6410" width="11.85546875" style="112" customWidth="1"/>
    <col min="6411" max="6411" width="12" style="112" customWidth="1"/>
    <col min="6412" max="6413" width="0" style="112" hidden="1" customWidth="1"/>
    <col min="6414" max="6414" width="11.7109375" style="112" customWidth="1"/>
    <col min="6415" max="6652" width="8.85546875" style="112"/>
    <col min="6653" max="6653" width="4.5703125" style="112" customWidth="1"/>
    <col min="6654" max="6654" width="23.42578125" style="112" customWidth="1"/>
    <col min="6655" max="6655" width="7.7109375" style="112" customWidth="1"/>
    <col min="6656" max="6656" width="9.28515625" style="112" customWidth="1"/>
    <col min="6657" max="6658" width="7.28515625" style="112" customWidth="1"/>
    <col min="6659" max="6659" width="9.85546875" style="112" customWidth="1"/>
    <col min="6660" max="6660" width="5.85546875" style="112" customWidth="1"/>
    <col min="6661" max="6661" width="6.28515625" style="112" customWidth="1"/>
    <col min="6662" max="6662" width="8" style="112" customWidth="1"/>
    <col min="6663" max="6663" width="9.5703125" style="112" customWidth="1"/>
    <col min="6664" max="6664" width="11.42578125" style="112" customWidth="1"/>
    <col min="6665" max="6665" width="10.42578125" style="112" customWidth="1"/>
    <col min="6666" max="6666" width="11.85546875" style="112" customWidth="1"/>
    <col min="6667" max="6667" width="12" style="112" customWidth="1"/>
    <col min="6668" max="6669" width="0" style="112" hidden="1" customWidth="1"/>
    <col min="6670" max="6670" width="11.7109375" style="112" customWidth="1"/>
    <col min="6671" max="6908" width="8.85546875" style="112"/>
    <col min="6909" max="6909" width="4.5703125" style="112" customWidth="1"/>
    <col min="6910" max="6910" width="23.42578125" style="112" customWidth="1"/>
    <col min="6911" max="6911" width="7.7109375" style="112" customWidth="1"/>
    <col min="6912" max="6912" width="9.28515625" style="112" customWidth="1"/>
    <col min="6913" max="6914" width="7.28515625" style="112" customWidth="1"/>
    <col min="6915" max="6915" width="9.85546875" style="112" customWidth="1"/>
    <col min="6916" max="6916" width="5.85546875" style="112" customWidth="1"/>
    <col min="6917" max="6917" width="6.28515625" style="112" customWidth="1"/>
    <col min="6918" max="6918" width="8" style="112" customWidth="1"/>
    <col min="6919" max="6919" width="9.5703125" style="112" customWidth="1"/>
    <col min="6920" max="6920" width="11.42578125" style="112" customWidth="1"/>
    <col min="6921" max="6921" width="10.42578125" style="112" customWidth="1"/>
    <col min="6922" max="6922" width="11.85546875" style="112" customWidth="1"/>
    <col min="6923" max="6923" width="12" style="112" customWidth="1"/>
    <col min="6924" max="6925" width="0" style="112" hidden="1" customWidth="1"/>
    <col min="6926" max="6926" width="11.7109375" style="112" customWidth="1"/>
    <col min="6927" max="7164" width="8.85546875" style="112"/>
    <col min="7165" max="7165" width="4.5703125" style="112" customWidth="1"/>
    <col min="7166" max="7166" width="23.42578125" style="112" customWidth="1"/>
    <col min="7167" max="7167" width="7.7109375" style="112" customWidth="1"/>
    <col min="7168" max="7168" width="9.28515625" style="112" customWidth="1"/>
    <col min="7169" max="7170" width="7.28515625" style="112" customWidth="1"/>
    <col min="7171" max="7171" width="9.85546875" style="112" customWidth="1"/>
    <col min="7172" max="7172" width="5.85546875" style="112" customWidth="1"/>
    <col min="7173" max="7173" width="6.28515625" style="112" customWidth="1"/>
    <col min="7174" max="7174" width="8" style="112" customWidth="1"/>
    <col min="7175" max="7175" width="9.5703125" style="112" customWidth="1"/>
    <col min="7176" max="7176" width="11.42578125" style="112" customWidth="1"/>
    <col min="7177" max="7177" width="10.42578125" style="112" customWidth="1"/>
    <col min="7178" max="7178" width="11.85546875" style="112" customWidth="1"/>
    <col min="7179" max="7179" width="12" style="112" customWidth="1"/>
    <col min="7180" max="7181" width="0" style="112" hidden="1" customWidth="1"/>
    <col min="7182" max="7182" width="11.7109375" style="112" customWidth="1"/>
    <col min="7183" max="7420" width="8.85546875" style="112"/>
    <col min="7421" max="7421" width="4.5703125" style="112" customWidth="1"/>
    <col min="7422" max="7422" width="23.42578125" style="112" customWidth="1"/>
    <col min="7423" max="7423" width="7.7109375" style="112" customWidth="1"/>
    <col min="7424" max="7424" width="9.28515625" style="112" customWidth="1"/>
    <col min="7425" max="7426" width="7.28515625" style="112" customWidth="1"/>
    <col min="7427" max="7427" width="9.85546875" style="112" customWidth="1"/>
    <col min="7428" max="7428" width="5.85546875" style="112" customWidth="1"/>
    <col min="7429" max="7429" width="6.28515625" style="112" customWidth="1"/>
    <col min="7430" max="7430" width="8" style="112" customWidth="1"/>
    <col min="7431" max="7431" width="9.5703125" style="112" customWidth="1"/>
    <col min="7432" max="7432" width="11.42578125" style="112" customWidth="1"/>
    <col min="7433" max="7433" width="10.42578125" style="112" customWidth="1"/>
    <col min="7434" max="7434" width="11.85546875" style="112" customWidth="1"/>
    <col min="7435" max="7435" width="12" style="112" customWidth="1"/>
    <col min="7436" max="7437" width="0" style="112" hidden="1" customWidth="1"/>
    <col min="7438" max="7438" width="11.7109375" style="112" customWidth="1"/>
    <col min="7439" max="7676" width="8.85546875" style="112"/>
    <col min="7677" max="7677" width="4.5703125" style="112" customWidth="1"/>
    <col min="7678" max="7678" width="23.42578125" style="112" customWidth="1"/>
    <col min="7679" max="7679" width="7.7109375" style="112" customWidth="1"/>
    <col min="7680" max="7680" width="9.28515625" style="112" customWidth="1"/>
    <col min="7681" max="7682" width="7.28515625" style="112" customWidth="1"/>
    <col min="7683" max="7683" width="9.85546875" style="112" customWidth="1"/>
    <col min="7684" max="7684" width="5.85546875" style="112" customWidth="1"/>
    <col min="7685" max="7685" width="6.28515625" style="112" customWidth="1"/>
    <col min="7686" max="7686" width="8" style="112" customWidth="1"/>
    <col min="7687" max="7687" width="9.5703125" style="112" customWidth="1"/>
    <col min="7688" max="7688" width="11.42578125" style="112" customWidth="1"/>
    <col min="7689" max="7689" width="10.42578125" style="112" customWidth="1"/>
    <col min="7690" max="7690" width="11.85546875" style="112" customWidth="1"/>
    <col min="7691" max="7691" width="12" style="112" customWidth="1"/>
    <col min="7692" max="7693" width="0" style="112" hidden="1" customWidth="1"/>
    <col min="7694" max="7694" width="11.7109375" style="112" customWidth="1"/>
    <col min="7695" max="7932" width="8.85546875" style="112"/>
    <col min="7933" max="7933" width="4.5703125" style="112" customWidth="1"/>
    <col min="7934" max="7934" width="23.42578125" style="112" customWidth="1"/>
    <col min="7935" max="7935" width="7.7109375" style="112" customWidth="1"/>
    <col min="7936" max="7936" width="9.28515625" style="112" customWidth="1"/>
    <col min="7937" max="7938" width="7.28515625" style="112" customWidth="1"/>
    <col min="7939" max="7939" width="9.85546875" style="112" customWidth="1"/>
    <col min="7940" max="7940" width="5.85546875" style="112" customWidth="1"/>
    <col min="7941" max="7941" width="6.28515625" style="112" customWidth="1"/>
    <col min="7942" max="7942" width="8" style="112" customWidth="1"/>
    <col min="7943" max="7943" width="9.5703125" style="112" customWidth="1"/>
    <col min="7944" max="7944" width="11.42578125" style="112" customWidth="1"/>
    <col min="7945" max="7945" width="10.42578125" style="112" customWidth="1"/>
    <col min="7946" max="7946" width="11.85546875" style="112" customWidth="1"/>
    <col min="7947" max="7947" width="12" style="112" customWidth="1"/>
    <col min="7948" max="7949" width="0" style="112" hidden="1" customWidth="1"/>
    <col min="7950" max="7950" width="11.7109375" style="112" customWidth="1"/>
    <col min="7951" max="8188" width="8.85546875" style="112"/>
    <col min="8189" max="8189" width="4.5703125" style="112" customWidth="1"/>
    <col min="8190" max="8190" width="23.42578125" style="112" customWidth="1"/>
    <col min="8191" max="8191" width="7.7109375" style="112" customWidth="1"/>
    <col min="8192" max="8192" width="9.28515625" style="112" customWidth="1"/>
    <col min="8193" max="8194" width="7.28515625" style="112" customWidth="1"/>
    <col min="8195" max="8195" width="9.85546875" style="112" customWidth="1"/>
    <col min="8196" max="8196" width="5.85546875" style="112" customWidth="1"/>
    <col min="8197" max="8197" width="6.28515625" style="112" customWidth="1"/>
    <col min="8198" max="8198" width="8" style="112" customWidth="1"/>
    <col min="8199" max="8199" width="9.5703125" style="112" customWidth="1"/>
    <col min="8200" max="8200" width="11.42578125" style="112" customWidth="1"/>
    <col min="8201" max="8201" width="10.42578125" style="112" customWidth="1"/>
    <col min="8202" max="8202" width="11.85546875" style="112" customWidth="1"/>
    <col min="8203" max="8203" width="12" style="112" customWidth="1"/>
    <col min="8204" max="8205" width="0" style="112" hidden="1" customWidth="1"/>
    <col min="8206" max="8206" width="11.7109375" style="112" customWidth="1"/>
    <col min="8207" max="8444" width="8.85546875" style="112"/>
    <col min="8445" max="8445" width="4.5703125" style="112" customWidth="1"/>
    <col min="8446" max="8446" width="23.42578125" style="112" customWidth="1"/>
    <col min="8447" max="8447" width="7.7109375" style="112" customWidth="1"/>
    <col min="8448" max="8448" width="9.28515625" style="112" customWidth="1"/>
    <col min="8449" max="8450" width="7.28515625" style="112" customWidth="1"/>
    <col min="8451" max="8451" width="9.85546875" style="112" customWidth="1"/>
    <col min="8452" max="8452" width="5.85546875" style="112" customWidth="1"/>
    <col min="8453" max="8453" width="6.28515625" style="112" customWidth="1"/>
    <col min="8454" max="8454" width="8" style="112" customWidth="1"/>
    <col min="8455" max="8455" width="9.5703125" style="112" customWidth="1"/>
    <col min="8456" max="8456" width="11.42578125" style="112" customWidth="1"/>
    <col min="8457" max="8457" width="10.42578125" style="112" customWidth="1"/>
    <col min="8458" max="8458" width="11.85546875" style="112" customWidth="1"/>
    <col min="8459" max="8459" width="12" style="112" customWidth="1"/>
    <col min="8460" max="8461" width="0" style="112" hidden="1" customWidth="1"/>
    <col min="8462" max="8462" width="11.7109375" style="112" customWidth="1"/>
    <col min="8463" max="8700" width="8.85546875" style="112"/>
    <col min="8701" max="8701" width="4.5703125" style="112" customWidth="1"/>
    <col min="8702" max="8702" width="23.42578125" style="112" customWidth="1"/>
    <col min="8703" max="8703" width="7.7109375" style="112" customWidth="1"/>
    <col min="8704" max="8704" width="9.28515625" style="112" customWidth="1"/>
    <col min="8705" max="8706" width="7.28515625" style="112" customWidth="1"/>
    <col min="8707" max="8707" width="9.85546875" style="112" customWidth="1"/>
    <col min="8708" max="8708" width="5.85546875" style="112" customWidth="1"/>
    <col min="8709" max="8709" width="6.28515625" style="112" customWidth="1"/>
    <col min="8710" max="8710" width="8" style="112" customWidth="1"/>
    <col min="8711" max="8711" width="9.5703125" style="112" customWidth="1"/>
    <col min="8712" max="8712" width="11.42578125" style="112" customWidth="1"/>
    <col min="8713" max="8713" width="10.42578125" style="112" customWidth="1"/>
    <col min="8714" max="8714" width="11.85546875" style="112" customWidth="1"/>
    <col min="8715" max="8715" width="12" style="112" customWidth="1"/>
    <col min="8716" max="8717" width="0" style="112" hidden="1" customWidth="1"/>
    <col min="8718" max="8718" width="11.7109375" style="112" customWidth="1"/>
    <col min="8719" max="8956" width="8.85546875" style="112"/>
    <col min="8957" max="8957" width="4.5703125" style="112" customWidth="1"/>
    <col min="8958" max="8958" width="23.42578125" style="112" customWidth="1"/>
    <col min="8959" max="8959" width="7.7109375" style="112" customWidth="1"/>
    <col min="8960" max="8960" width="9.28515625" style="112" customWidth="1"/>
    <col min="8961" max="8962" width="7.28515625" style="112" customWidth="1"/>
    <col min="8963" max="8963" width="9.85546875" style="112" customWidth="1"/>
    <col min="8964" max="8964" width="5.85546875" style="112" customWidth="1"/>
    <col min="8965" max="8965" width="6.28515625" style="112" customWidth="1"/>
    <col min="8966" max="8966" width="8" style="112" customWidth="1"/>
    <col min="8967" max="8967" width="9.5703125" style="112" customWidth="1"/>
    <col min="8968" max="8968" width="11.42578125" style="112" customWidth="1"/>
    <col min="8969" max="8969" width="10.42578125" style="112" customWidth="1"/>
    <col min="8970" max="8970" width="11.85546875" style="112" customWidth="1"/>
    <col min="8971" max="8971" width="12" style="112" customWidth="1"/>
    <col min="8972" max="8973" width="0" style="112" hidden="1" customWidth="1"/>
    <col min="8974" max="8974" width="11.7109375" style="112" customWidth="1"/>
    <col min="8975" max="9212" width="8.85546875" style="112"/>
    <col min="9213" max="9213" width="4.5703125" style="112" customWidth="1"/>
    <col min="9214" max="9214" width="23.42578125" style="112" customWidth="1"/>
    <col min="9215" max="9215" width="7.7109375" style="112" customWidth="1"/>
    <col min="9216" max="9216" width="9.28515625" style="112" customWidth="1"/>
    <col min="9217" max="9218" width="7.28515625" style="112" customWidth="1"/>
    <col min="9219" max="9219" width="9.85546875" style="112" customWidth="1"/>
    <col min="9220" max="9220" width="5.85546875" style="112" customWidth="1"/>
    <col min="9221" max="9221" width="6.28515625" style="112" customWidth="1"/>
    <col min="9222" max="9222" width="8" style="112" customWidth="1"/>
    <col min="9223" max="9223" width="9.5703125" style="112" customWidth="1"/>
    <col min="9224" max="9224" width="11.42578125" style="112" customWidth="1"/>
    <col min="9225" max="9225" width="10.42578125" style="112" customWidth="1"/>
    <col min="9226" max="9226" width="11.85546875" style="112" customWidth="1"/>
    <col min="9227" max="9227" width="12" style="112" customWidth="1"/>
    <col min="9228" max="9229" width="0" style="112" hidden="1" customWidth="1"/>
    <col min="9230" max="9230" width="11.7109375" style="112" customWidth="1"/>
    <col min="9231" max="9468" width="8.85546875" style="112"/>
    <col min="9469" max="9469" width="4.5703125" style="112" customWidth="1"/>
    <col min="9470" max="9470" width="23.42578125" style="112" customWidth="1"/>
    <col min="9471" max="9471" width="7.7109375" style="112" customWidth="1"/>
    <col min="9472" max="9472" width="9.28515625" style="112" customWidth="1"/>
    <col min="9473" max="9474" width="7.28515625" style="112" customWidth="1"/>
    <col min="9475" max="9475" width="9.85546875" style="112" customWidth="1"/>
    <col min="9476" max="9476" width="5.85546875" style="112" customWidth="1"/>
    <col min="9477" max="9477" width="6.28515625" style="112" customWidth="1"/>
    <col min="9478" max="9478" width="8" style="112" customWidth="1"/>
    <col min="9479" max="9479" width="9.5703125" style="112" customWidth="1"/>
    <col min="9480" max="9480" width="11.42578125" style="112" customWidth="1"/>
    <col min="9481" max="9481" width="10.42578125" style="112" customWidth="1"/>
    <col min="9482" max="9482" width="11.85546875" style="112" customWidth="1"/>
    <col min="9483" max="9483" width="12" style="112" customWidth="1"/>
    <col min="9484" max="9485" width="0" style="112" hidden="1" customWidth="1"/>
    <col min="9486" max="9486" width="11.7109375" style="112" customWidth="1"/>
    <col min="9487" max="9724" width="8.85546875" style="112"/>
    <col min="9725" max="9725" width="4.5703125" style="112" customWidth="1"/>
    <col min="9726" max="9726" width="23.42578125" style="112" customWidth="1"/>
    <col min="9727" max="9727" width="7.7109375" style="112" customWidth="1"/>
    <col min="9728" max="9728" width="9.28515625" style="112" customWidth="1"/>
    <col min="9729" max="9730" width="7.28515625" style="112" customWidth="1"/>
    <col min="9731" max="9731" width="9.85546875" style="112" customWidth="1"/>
    <col min="9732" max="9732" width="5.85546875" style="112" customWidth="1"/>
    <col min="9733" max="9733" width="6.28515625" style="112" customWidth="1"/>
    <col min="9734" max="9734" width="8" style="112" customWidth="1"/>
    <col min="9735" max="9735" width="9.5703125" style="112" customWidth="1"/>
    <col min="9736" max="9736" width="11.42578125" style="112" customWidth="1"/>
    <col min="9737" max="9737" width="10.42578125" style="112" customWidth="1"/>
    <col min="9738" max="9738" width="11.85546875" style="112" customWidth="1"/>
    <col min="9739" max="9739" width="12" style="112" customWidth="1"/>
    <col min="9740" max="9741" width="0" style="112" hidden="1" customWidth="1"/>
    <col min="9742" max="9742" width="11.7109375" style="112" customWidth="1"/>
    <col min="9743" max="9980" width="8.85546875" style="112"/>
    <col min="9981" max="9981" width="4.5703125" style="112" customWidth="1"/>
    <col min="9982" max="9982" width="23.42578125" style="112" customWidth="1"/>
    <col min="9983" max="9983" width="7.7109375" style="112" customWidth="1"/>
    <col min="9984" max="9984" width="9.28515625" style="112" customWidth="1"/>
    <col min="9985" max="9986" width="7.28515625" style="112" customWidth="1"/>
    <col min="9987" max="9987" width="9.85546875" style="112" customWidth="1"/>
    <col min="9988" max="9988" width="5.85546875" style="112" customWidth="1"/>
    <col min="9989" max="9989" width="6.28515625" style="112" customWidth="1"/>
    <col min="9990" max="9990" width="8" style="112" customWidth="1"/>
    <col min="9991" max="9991" width="9.5703125" style="112" customWidth="1"/>
    <col min="9992" max="9992" width="11.42578125" style="112" customWidth="1"/>
    <col min="9993" max="9993" width="10.42578125" style="112" customWidth="1"/>
    <col min="9994" max="9994" width="11.85546875" style="112" customWidth="1"/>
    <col min="9995" max="9995" width="12" style="112" customWidth="1"/>
    <col min="9996" max="9997" width="0" style="112" hidden="1" customWidth="1"/>
    <col min="9998" max="9998" width="11.7109375" style="112" customWidth="1"/>
    <col min="9999" max="10236" width="8.85546875" style="112"/>
    <col min="10237" max="10237" width="4.5703125" style="112" customWidth="1"/>
    <col min="10238" max="10238" width="23.42578125" style="112" customWidth="1"/>
    <col min="10239" max="10239" width="7.7109375" style="112" customWidth="1"/>
    <col min="10240" max="10240" width="9.28515625" style="112" customWidth="1"/>
    <col min="10241" max="10242" width="7.28515625" style="112" customWidth="1"/>
    <col min="10243" max="10243" width="9.85546875" style="112" customWidth="1"/>
    <col min="10244" max="10244" width="5.85546875" style="112" customWidth="1"/>
    <col min="10245" max="10245" width="6.28515625" style="112" customWidth="1"/>
    <col min="10246" max="10246" width="8" style="112" customWidth="1"/>
    <col min="10247" max="10247" width="9.5703125" style="112" customWidth="1"/>
    <col min="10248" max="10248" width="11.42578125" style="112" customWidth="1"/>
    <col min="10249" max="10249" width="10.42578125" style="112" customWidth="1"/>
    <col min="10250" max="10250" width="11.85546875" style="112" customWidth="1"/>
    <col min="10251" max="10251" width="12" style="112" customWidth="1"/>
    <col min="10252" max="10253" width="0" style="112" hidden="1" customWidth="1"/>
    <col min="10254" max="10254" width="11.7109375" style="112" customWidth="1"/>
    <col min="10255" max="10492" width="8.85546875" style="112"/>
    <col min="10493" max="10493" width="4.5703125" style="112" customWidth="1"/>
    <col min="10494" max="10494" width="23.42578125" style="112" customWidth="1"/>
    <col min="10495" max="10495" width="7.7109375" style="112" customWidth="1"/>
    <col min="10496" max="10496" width="9.28515625" style="112" customWidth="1"/>
    <col min="10497" max="10498" width="7.28515625" style="112" customWidth="1"/>
    <col min="10499" max="10499" width="9.85546875" style="112" customWidth="1"/>
    <col min="10500" max="10500" width="5.85546875" style="112" customWidth="1"/>
    <col min="10501" max="10501" width="6.28515625" style="112" customWidth="1"/>
    <col min="10502" max="10502" width="8" style="112" customWidth="1"/>
    <col min="10503" max="10503" width="9.5703125" style="112" customWidth="1"/>
    <col min="10504" max="10504" width="11.42578125" style="112" customWidth="1"/>
    <col min="10505" max="10505" width="10.42578125" style="112" customWidth="1"/>
    <col min="10506" max="10506" width="11.85546875" style="112" customWidth="1"/>
    <col min="10507" max="10507" width="12" style="112" customWidth="1"/>
    <col min="10508" max="10509" width="0" style="112" hidden="1" customWidth="1"/>
    <col min="10510" max="10510" width="11.7109375" style="112" customWidth="1"/>
    <col min="10511" max="10748" width="8.85546875" style="112"/>
    <col min="10749" max="10749" width="4.5703125" style="112" customWidth="1"/>
    <col min="10750" max="10750" width="23.42578125" style="112" customWidth="1"/>
    <col min="10751" max="10751" width="7.7109375" style="112" customWidth="1"/>
    <col min="10752" max="10752" width="9.28515625" style="112" customWidth="1"/>
    <col min="10753" max="10754" width="7.28515625" style="112" customWidth="1"/>
    <col min="10755" max="10755" width="9.85546875" style="112" customWidth="1"/>
    <col min="10756" max="10756" width="5.85546875" style="112" customWidth="1"/>
    <col min="10757" max="10757" width="6.28515625" style="112" customWidth="1"/>
    <col min="10758" max="10758" width="8" style="112" customWidth="1"/>
    <col min="10759" max="10759" width="9.5703125" style="112" customWidth="1"/>
    <col min="10760" max="10760" width="11.42578125" style="112" customWidth="1"/>
    <col min="10761" max="10761" width="10.42578125" style="112" customWidth="1"/>
    <col min="10762" max="10762" width="11.85546875" style="112" customWidth="1"/>
    <col min="10763" max="10763" width="12" style="112" customWidth="1"/>
    <col min="10764" max="10765" width="0" style="112" hidden="1" customWidth="1"/>
    <col min="10766" max="10766" width="11.7109375" style="112" customWidth="1"/>
    <col min="10767" max="11004" width="8.85546875" style="112"/>
    <col min="11005" max="11005" width="4.5703125" style="112" customWidth="1"/>
    <col min="11006" max="11006" width="23.42578125" style="112" customWidth="1"/>
    <col min="11007" max="11007" width="7.7109375" style="112" customWidth="1"/>
    <col min="11008" max="11008" width="9.28515625" style="112" customWidth="1"/>
    <col min="11009" max="11010" width="7.28515625" style="112" customWidth="1"/>
    <col min="11011" max="11011" width="9.85546875" style="112" customWidth="1"/>
    <col min="11012" max="11012" width="5.85546875" style="112" customWidth="1"/>
    <col min="11013" max="11013" width="6.28515625" style="112" customWidth="1"/>
    <col min="11014" max="11014" width="8" style="112" customWidth="1"/>
    <col min="11015" max="11015" width="9.5703125" style="112" customWidth="1"/>
    <col min="11016" max="11016" width="11.42578125" style="112" customWidth="1"/>
    <col min="11017" max="11017" width="10.42578125" style="112" customWidth="1"/>
    <col min="11018" max="11018" width="11.85546875" style="112" customWidth="1"/>
    <col min="11019" max="11019" width="12" style="112" customWidth="1"/>
    <col min="11020" max="11021" width="0" style="112" hidden="1" customWidth="1"/>
    <col min="11022" max="11022" width="11.7109375" style="112" customWidth="1"/>
    <col min="11023" max="11260" width="8.85546875" style="112"/>
    <col min="11261" max="11261" width="4.5703125" style="112" customWidth="1"/>
    <col min="11262" max="11262" width="23.42578125" style="112" customWidth="1"/>
    <col min="11263" max="11263" width="7.7109375" style="112" customWidth="1"/>
    <col min="11264" max="11264" width="9.28515625" style="112" customWidth="1"/>
    <col min="11265" max="11266" width="7.28515625" style="112" customWidth="1"/>
    <col min="11267" max="11267" width="9.85546875" style="112" customWidth="1"/>
    <col min="11268" max="11268" width="5.85546875" style="112" customWidth="1"/>
    <col min="11269" max="11269" width="6.28515625" style="112" customWidth="1"/>
    <col min="11270" max="11270" width="8" style="112" customWidth="1"/>
    <col min="11271" max="11271" width="9.5703125" style="112" customWidth="1"/>
    <col min="11272" max="11272" width="11.42578125" style="112" customWidth="1"/>
    <col min="11273" max="11273" width="10.42578125" style="112" customWidth="1"/>
    <col min="11274" max="11274" width="11.85546875" style="112" customWidth="1"/>
    <col min="11275" max="11275" width="12" style="112" customWidth="1"/>
    <col min="11276" max="11277" width="0" style="112" hidden="1" customWidth="1"/>
    <col min="11278" max="11278" width="11.7109375" style="112" customWidth="1"/>
    <col min="11279" max="11516" width="8.85546875" style="112"/>
    <col min="11517" max="11517" width="4.5703125" style="112" customWidth="1"/>
    <col min="11518" max="11518" width="23.42578125" style="112" customWidth="1"/>
    <col min="11519" max="11519" width="7.7109375" style="112" customWidth="1"/>
    <col min="11520" max="11520" width="9.28515625" style="112" customWidth="1"/>
    <col min="11521" max="11522" width="7.28515625" style="112" customWidth="1"/>
    <col min="11523" max="11523" width="9.85546875" style="112" customWidth="1"/>
    <col min="11524" max="11524" width="5.85546875" style="112" customWidth="1"/>
    <col min="11525" max="11525" width="6.28515625" style="112" customWidth="1"/>
    <col min="11526" max="11526" width="8" style="112" customWidth="1"/>
    <col min="11527" max="11527" width="9.5703125" style="112" customWidth="1"/>
    <col min="11528" max="11528" width="11.42578125" style="112" customWidth="1"/>
    <col min="11529" max="11529" width="10.42578125" style="112" customWidth="1"/>
    <col min="11530" max="11530" width="11.85546875" style="112" customWidth="1"/>
    <col min="11531" max="11531" width="12" style="112" customWidth="1"/>
    <col min="11532" max="11533" width="0" style="112" hidden="1" customWidth="1"/>
    <col min="11534" max="11534" width="11.7109375" style="112" customWidth="1"/>
    <col min="11535" max="11772" width="8.85546875" style="112"/>
    <col min="11773" max="11773" width="4.5703125" style="112" customWidth="1"/>
    <col min="11774" max="11774" width="23.42578125" style="112" customWidth="1"/>
    <col min="11775" max="11775" width="7.7109375" style="112" customWidth="1"/>
    <col min="11776" max="11776" width="9.28515625" style="112" customWidth="1"/>
    <col min="11777" max="11778" width="7.28515625" style="112" customWidth="1"/>
    <col min="11779" max="11779" width="9.85546875" style="112" customWidth="1"/>
    <col min="11780" max="11780" width="5.85546875" style="112" customWidth="1"/>
    <col min="11781" max="11781" width="6.28515625" style="112" customWidth="1"/>
    <col min="11782" max="11782" width="8" style="112" customWidth="1"/>
    <col min="11783" max="11783" width="9.5703125" style="112" customWidth="1"/>
    <col min="11784" max="11784" width="11.42578125" style="112" customWidth="1"/>
    <col min="11785" max="11785" width="10.42578125" style="112" customWidth="1"/>
    <col min="11786" max="11786" width="11.85546875" style="112" customWidth="1"/>
    <col min="11787" max="11787" width="12" style="112" customWidth="1"/>
    <col min="11788" max="11789" width="0" style="112" hidden="1" customWidth="1"/>
    <col min="11790" max="11790" width="11.7109375" style="112" customWidth="1"/>
    <col min="11791" max="12028" width="8.85546875" style="112"/>
    <col min="12029" max="12029" width="4.5703125" style="112" customWidth="1"/>
    <col min="12030" max="12030" width="23.42578125" style="112" customWidth="1"/>
    <col min="12031" max="12031" width="7.7109375" style="112" customWidth="1"/>
    <col min="12032" max="12032" width="9.28515625" style="112" customWidth="1"/>
    <col min="12033" max="12034" width="7.28515625" style="112" customWidth="1"/>
    <col min="12035" max="12035" width="9.85546875" style="112" customWidth="1"/>
    <col min="12036" max="12036" width="5.85546875" style="112" customWidth="1"/>
    <col min="12037" max="12037" width="6.28515625" style="112" customWidth="1"/>
    <col min="12038" max="12038" width="8" style="112" customWidth="1"/>
    <col min="12039" max="12039" width="9.5703125" style="112" customWidth="1"/>
    <col min="12040" max="12040" width="11.42578125" style="112" customWidth="1"/>
    <col min="12041" max="12041" width="10.42578125" style="112" customWidth="1"/>
    <col min="12042" max="12042" width="11.85546875" style="112" customWidth="1"/>
    <col min="12043" max="12043" width="12" style="112" customWidth="1"/>
    <col min="12044" max="12045" width="0" style="112" hidden="1" customWidth="1"/>
    <col min="12046" max="12046" width="11.7109375" style="112" customWidth="1"/>
    <col min="12047" max="12284" width="8.85546875" style="112"/>
    <col min="12285" max="12285" width="4.5703125" style="112" customWidth="1"/>
    <col min="12286" max="12286" width="23.42578125" style="112" customWidth="1"/>
    <col min="12287" max="12287" width="7.7109375" style="112" customWidth="1"/>
    <col min="12288" max="12288" width="9.28515625" style="112" customWidth="1"/>
    <col min="12289" max="12290" width="7.28515625" style="112" customWidth="1"/>
    <col min="12291" max="12291" width="9.85546875" style="112" customWidth="1"/>
    <col min="12292" max="12292" width="5.85546875" style="112" customWidth="1"/>
    <col min="12293" max="12293" width="6.28515625" style="112" customWidth="1"/>
    <col min="12294" max="12294" width="8" style="112" customWidth="1"/>
    <col min="12295" max="12295" width="9.5703125" style="112" customWidth="1"/>
    <col min="12296" max="12296" width="11.42578125" style="112" customWidth="1"/>
    <col min="12297" max="12297" width="10.42578125" style="112" customWidth="1"/>
    <col min="12298" max="12298" width="11.85546875" style="112" customWidth="1"/>
    <col min="12299" max="12299" width="12" style="112" customWidth="1"/>
    <col min="12300" max="12301" width="0" style="112" hidden="1" customWidth="1"/>
    <col min="12302" max="12302" width="11.7109375" style="112" customWidth="1"/>
    <col min="12303" max="12540" width="8.85546875" style="112"/>
    <col min="12541" max="12541" width="4.5703125" style="112" customWidth="1"/>
    <col min="12542" max="12542" width="23.42578125" style="112" customWidth="1"/>
    <col min="12543" max="12543" width="7.7109375" style="112" customWidth="1"/>
    <col min="12544" max="12544" width="9.28515625" style="112" customWidth="1"/>
    <col min="12545" max="12546" width="7.28515625" style="112" customWidth="1"/>
    <col min="12547" max="12547" width="9.85546875" style="112" customWidth="1"/>
    <col min="12548" max="12548" width="5.85546875" style="112" customWidth="1"/>
    <col min="12549" max="12549" width="6.28515625" style="112" customWidth="1"/>
    <col min="12550" max="12550" width="8" style="112" customWidth="1"/>
    <col min="12551" max="12551" width="9.5703125" style="112" customWidth="1"/>
    <col min="12552" max="12552" width="11.42578125" style="112" customWidth="1"/>
    <col min="12553" max="12553" width="10.42578125" style="112" customWidth="1"/>
    <col min="12554" max="12554" width="11.85546875" style="112" customWidth="1"/>
    <col min="12555" max="12555" width="12" style="112" customWidth="1"/>
    <col min="12556" max="12557" width="0" style="112" hidden="1" customWidth="1"/>
    <col min="12558" max="12558" width="11.7109375" style="112" customWidth="1"/>
    <col min="12559" max="12796" width="8.85546875" style="112"/>
    <col min="12797" max="12797" width="4.5703125" style="112" customWidth="1"/>
    <col min="12798" max="12798" width="23.42578125" style="112" customWidth="1"/>
    <col min="12799" max="12799" width="7.7109375" style="112" customWidth="1"/>
    <col min="12800" max="12800" width="9.28515625" style="112" customWidth="1"/>
    <col min="12801" max="12802" width="7.28515625" style="112" customWidth="1"/>
    <col min="12803" max="12803" width="9.85546875" style="112" customWidth="1"/>
    <col min="12804" max="12804" width="5.85546875" style="112" customWidth="1"/>
    <col min="12805" max="12805" width="6.28515625" style="112" customWidth="1"/>
    <col min="12806" max="12806" width="8" style="112" customWidth="1"/>
    <col min="12807" max="12807" width="9.5703125" style="112" customWidth="1"/>
    <col min="12808" max="12808" width="11.42578125" style="112" customWidth="1"/>
    <col min="12809" max="12809" width="10.42578125" style="112" customWidth="1"/>
    <col min="12810" max="12810" width="11.85546875" style="112" customWidth="1"/>
    <col min="12811" max="12811" width="12" style="112" customWidth="1"/>
    <col min="12812" max="12813" width="0" style="112" hidden="1" customWidth="1"/>
    <col min="12814" max="12814" width="11.7109375" style="112" customWidth="1"/>
    <col min="12815" max="13052" width="8.85546875" style="112"/>
    <col min="13053" max="13053" width="4.5703125" style="112" customWidth="1"/>
    <col min="13054" max="13054" width="23.42578125" style="112" customWidth="1"/>
    <col min="13055" max="13055" width="7.7109375" style="112" customWidth="1"/>
    <col min="13056" max="13056" width="9.28515625" style="112" customWidth="1"/>
    <col min="13057" max="13058" width="7.28515625" style="112" customWidth="1"/>
    <col min="13059" max="13059" width="9.85546875" style="112" customWidth="1"/>
    <col min="13060" max="13060" width="5.85546875" style="112" customWidth="1"/>
    <col min="13061" max="13061" width="6.28515625" style="112" customWidth="1"/>
    <col min="13062" max="13062" width="8" style="112" customWidth="1"/>
    <col min="13063" max="13063" width="9.5703125" style="112" customWidth="1"/>
    <col min="13064" max="13064" width="11.42578125" style="112" customWidth="1"/>
    <col min="13065" max="13065" width="10.42578125" style="112" customWidth="1"/>
    <col min="13066" max="13066" width="11.85546875" style="112" customWidth="1"/>
    <col min="13067" max="13067" width="12" style="112" customWidth="1"/>
    <col min="13068" max="13069" width="0" style="112" hidden="1" customWidth="1"/>
    <col min="13070" max="13070" width="11.7109375" style="112" customWidth="1"/>
    <col min="13071" max="13308" width="8.85546875" style="112"/>
    <col min="13309" max="13309" width="4.5703125" style="112" customWidth="1"/>
    <col min="13310" max="13310" width="23.42578125" style="112" customWidth="1"/>
    <col min="13311" max="13311" width="7.7109375" style="112" customWidth="1"/>
    <col min="13312" max="13312" width="9.28515625" style="112" customWidth="1"/>
    <col min="13313" max="13314" width="7.28515625" style="112" customWidth="1"/>
    <col min="13315" max="13315" width="9.85546875" style="112" customWidth="1"/>
    <col min="13316" max="13316" width="5.85546875" style="112" customWidth="1"/>
    <col min="13317" max="13317" width="6.28515625" style="112" customWidth="1"/>
    <col min="13318" max="13318" width="8" style="112" customWidth="1"/>
    <col min="13319" max="13319" width="9.5703125" style="112" customWidth="1"/>
    <col min="13320" max="13320" width="11.42578125" style="112" customWidth="1"/>
    <col min="13321" max="13321" width="10.42578125" style="112" customWidth="1"/>
    <col min="13322" max="13322" width="11.85546875" style="112" customWidth="1"/>
    <col min="13323" max="13323" width="12" style="112" customWidth="1"/>
    <col min="13324" max="13325" width="0" style="112" hidden="1" customWidth="1"/>
    <col min="13326" max="13326" width="11.7109375" style="112" customWidth="1"/>
    <col min="13327" max="13564" width="8.85546875" style="112"/>
    <col min="13565" max="13565" width="4.5703125" style="112" customWidth="1"/>
    <col min="13566" max="13566" width="23.42578125" style="112" customWidth="1"/>
    <col min="13567" max="13567" width="7.7109375" style="112" customWidth="1"/>
    <col min="13568" max="13568" width="9.28515625" style="112" customWidth="1"/>
    <col min="13569" max="13570" width="7.28515625" style="112" customWidth="1"/>
    <col min="13571" max="13571" width="9.85546875" style="112" customWidth="1"/>
    <col min="13572" max="13572" width="5.85546875" style="112" customWidth="1"/>
    <col min="13573" max="13573" width="6.28515625" style="112" customWidth="1"/>
    <col min="13574" max="13574" width="8" style="112" customWidth="1"/>
    <col min="13575" max="13575" width="9.5703125" style="112" customWidth="1"/>
    <col min="13576" max="13576" width="11.42578125" style="112" customWidth="1"/>
    <col min="13577" max="13577" width="10.42578125" style="112" customWidth="1"/>
    <col min="13578" max="13578" width="11.85546875" style="112" customWidth="1"/>
    <col min="13579" max="13579" width="12" style="112" customWidth="1"/>
    <col min="13580" max="13581" width="0" style="112" hidden="1" customWidth="1"/>
    <col min="13582" max="13582" width="11.7109375" style="112" customWidth="1"/>
    <col min="13583" max="13820" width="8.85546875" style="112"/>
    <col min="13821" max="13821" width="4.5703125" style="112" customWidth="1"/>
    <col min="13822" max="13822" width="23.42578125" style="112" customWidth="1"/>
    <col min="13823" max="13823" width="7.7109375" style="112" customWidth="1"/>
    <col min="13824" max="13824" width="9.28515625" style="112" customWidth="1"/>
    <col min="13825" max="13826" width="7.28515625" style="112" customWidth="1"/>
    <col min="13827" max="13827" width="9.85546875" style="112" customWidth="1"/>
    <col min="13828" max="13828" width="5.85546875" style="112" customWidth="1"/>
    <col min="13829" max="13829" width="6.28515625" style="112" customWidth="1"/>
    <col min="13830" max="13830" width="8" style="112" customWidth="1"/>
    <col min="13831" max="13831" width="9.5703125" style="112" customWidth="1"/>
    <col min="13832" max="13832" width="11.42578125" style="112" customWidth="1"/>
    <col min="13833" max="13833" width="10.42578125" style="112" customWidth="1"/>
    <col min="13834" max="13834" width="11.85546875" style="112" customWidth="1"/>
    <col min="13835" max="13835" width="12" style="112" customWidth="1"/>
    <col min="13836" max="13837" width="0" style="112" hidden="1" customWidth="1"/>
    <col min="13838" max="13838" width="11.7109375" style="112" customWidth="1"/>
    <col min="13839" max="14076" width="8.85546875" style="112"/>
    <col min="14077" max="14077" width="4.5703125" style="112" customWidth="1"/>
    <col min="14078" max="14078" width="23.42578125" style="112" customWidth="1"/>
    <col min="14079" max="14079" width="7.7109375" style="112" customWidth="1"/>
    <col min="14080" max="14080" width="9.28515625" style="112" customWidth="1"/>
    <col min="14081" max="14082" width="7.28515625" style="112" customWidth="1"/>
    <col min="14083" max="14083" width="9.85546875" style="112" customWidth="1"/>
    <col min="14084" max="14084" width="5.85546875" style="112" customWidth="1"/>
    <col min="14085" max="14085" width="6.28515625" style="112" customWidth="1"/>
    <col min="14086" max="14086" width="8" style="112" customWidth="1"/>
    <col min="14087" max="14087" width="9.5703125" style="112" customWidth="1"/>
    <col min="14088" max="14088" width="11.42578125" style="112" customWidth="1"/>
    <col min="14089" max="14089" width="10.42578125" style="112" customWidth="1"/>
    <col min="14090" max="14090" width="11.85546875" style="112" customWidth="1"/>
    <col min="14091" max="14091" width="12" style="112" customWidth="1"/>
    <col min="14092" max="14093" width="0" style="112" hidden="1" customWidth="1"/>
    <col min="14094" max="14094" width="11.7109375" style="112" customWidth="1"/>
    <col min="14095" max="14332" width="8.85546875" style="112"/>
    <col min="14333" max="14333" width="4.5703125" style="112" customWidth="1"/>
    <col min="14334" max="14334" width="23.42578125" style="112" customWidth="1"/>
    <col min="14335" max="14335" width="7.7109375" style="112" customWidth="1"/>
    <col min="14336" max="14336" width="9.28515625" style="112" customWidth="1"/>
    <col min="14337" max="14338" width="7.28515625" style="112" customWidth="1"/>
    <col min="14339" max="14339" width="9.85546875" style="112" customWidth="1"/>
    <col min="14340" max="14340" width="5.85546875" style="112" customWidth="1"/>
    <col min="14341" max="14341" width="6.28515625" style="112" customWidth="1"/>
    <col min="14342" max="14342" width="8" style="112" customWidth="1"/>
    <col min="14343" max="14343" width="9.5703125" style="112" customWidth="1"/>
    <col min="14344" max="14344" width="11.42578125" style="112" customWidth="1"/>
    <col min="14345" max="14345" width="10.42578125" style="112" customWidth="1"/>
    <col min="14346" max="14346" width="11.85546875" style="112" customWidth="1"/>
    <col min="14347" max="14347" width="12" style="112" customWidth="1"/>
    <col min="14348" max="14349" width="0" style="112" hidden="1" customWidth="1"/>
    <col min="14350" max="14350" width="11.7109375" style="112" customWidth="1"/>
    <col min="14351" max="14588" width="8.85546875" style="112"/>
    <col min="14589" max="14589" width="4.5703125" style="112" customWidth="1"/>
    <col min="14590" max="14590" width="23.42578125" style="112" customWidth="1"/>
    <col min="14591" max="14591" width="7.7109375" style="112" customWidth="1"/>
    <col min="14592" max="14592" width="9.28515625" style="112" customWidth="1"/>
    <col min="14593" max="14594" width="7.28515625" style="112" customWidth="1"/>
    <col min="14595" max="14595" width="9.85546875" style="112" customWidth="1"/>
    <col min="14596" max="14596" width="5.85546875" style="112" customWidth="1"/>
    <col min="14597" max="14597" width="6.28515625" style="112" customWidth="1"/>
    <col min="14598" max="14598" width="8" style="112" customWidth="1"/>
    <col min="14599" max="14599" width="9.5703125" style="112" customWidth="1"/>
    <col min="14600" max="14600" width="11.42578125" style="112" customWidth="1"/>
    <col min="14601" max="14601" width="10.42578125" style="112" customWidth="1"/>
    <col min="14602" max="14602" width="11.85546875" style="112" customWidth="1"/>
    <col min="14603" max="14603" width="12" style="112" customWidth="1"/>
    <col min="14604" max="14605" width="0" style="112" hidden="1" customWidth="1"/>
    <col min="14606" max="14606" width="11.7109375" style="112" customWidth="1"/>
    <col min="14607" max="14844" width="8.85546875" style="112"/>
    <col min="14845" max="14845" width="4.5703125" style="112" customWidth="1"/>
    <col min="14846" max="14846" width="23.42578125" style="112" customWidth="1"/>
    <col min="14847" max="14847" width="7.7109375" style="112" customWidth="1"/>
    <col min="14848" max="14848" width="9.28515625" style="112" customWidth="1"/>
    <col min="14849" max="14850" width="7.28515625" style="112" customWidth="1"/>
    <col min="14851" max="14851" width="9.85546875" style="112" customWidth="1"/>
    <col min="14852" max="14852" width="5.85546875" style="112" customWidth="1"/>
    <col min="14853" max="14853" width="6.28515625" style="112" customWidth="1"/>
    <col min="14854" max="14854" width="8" style="112" customWidth="1"/>
    <col min="14855" max="14855" width="9.5703125" style="112" customWidth="1"/>
    <col min="14856" max="14856" width="11.42578125" style="112" customWidth="1"/>
    <col min="14857" max="14857" width="10.42578125" style="112" customWidth="1"/>
    <col min="14858" max="14858" width="11.85546875" style="112" customWidth="1"/>
    <col min="14859" max="14859" width="12" style="112" customWidth="1"/>
    <col min="14860" max="14861" width="0" style="112" hidden="1" customWidth="1"/>
    <col min="14862" max="14862" width="11.7109375" style="112" customWidth="1"/>
    <col min="14863" max="15100" width="8.85546875" style="112"/>
    <col min="15101" max="15101" width="4.5703125" style="112" customWidth="1"/>
    <col min="15102" max="15102" width="23.42578125" style="112" customWidth="1"/>
    <col min="15103" max="15103" width="7.7109375" style="112" customWidth="1"/>
    <col min="15104" max="15104" width="9.28515625" style="112" customWidth="1"/>
    <col min="15105" max="15106" width="7.28515625" style="112" customWidth="1"/>
    <col min="15107" max="15107" width="9.85546875" style="112" customWidth="1"/>
    <col min="15108" max="15108" width="5.85546875" style="112" customWidth="1"/>
    <col min="15109" max="15109" width="6.28515625" style="112" customWidth="1"/>
    <col min="15110" max="15110" width="8" style="112" customWidth="1"/>
    <col min="15111" max="15111" width="9.5703125" style="112" customWidth="1"/>
    <col min="15112" max="15112" width="11.42578125" style="112" customWidth="1"/>
    <col min="15113" max="15113" width="10.42578125" style="112" customWidth="1"/>
    <col min="15114" max="15114" width="11.85546875" style="112" customWidth="1"/>
    <col min="15115" max="15115" width="12" style="112" customWidth="1"/>
    <col min="15116" max="15117" width="0" style="112" hidden="1" customWidth="1"/>
    <col min="15118" max="15118" width="11.7109375" style="112" customWidth="1"/>
    <col min="15119" max="15356" width="8.85546875" style="112"/>
    <col min="15357" max="15357" width="4.5703125" style="112" customWidth="1"/>
    <col min="15358" max="15358" width="23.42578125" style="112" customWidth="1"/>
    <col min="15359" max="15359" width="7.7109375" style="112" customWidth="1"/>
    <col min="15360" max="15360" width="9.28515625" style="112" customWidth="1"/>
    <col min="15361" max="15362" width="7.28515625" style="112" customWidth="1"/>
    <col min="15363" max="15363" width="9.85546875" style="112" customWidth="1"/>
    <col min="15364" max="15364" width="5.85546875" style="112" customWidth="1"/>
    <col min="15365" max="15365" width="6.28515625" style="112" customWidth="1"/>
    <col min="15366" max="15366" width="8" style="112" customWidth="1"/>
    <col min="15367" max="15367" width="9.5703125" style="112" customWidth="1"/>
    <col min="15368" max="15368" width="11.42578125" style="112" customWidth="1"/>
    <col min="15369" max="15369" width="10.42578125" style="112" customWidth="1"/>
    <col min="15370" max="15370" width="11.85546875" style="112" customWidth="1"/>
    <col min="15371" max="15371" width="12" style="112" customWidth="1"/>
    <col min="15372" max="15373" width="0" style="112" hidden="1" customWidth="1"/>
    <col min="15374" max="15374" width="11.7109375" style="112" customWidth="1"/>
    <col min="15375" max="15612" width="8.85546875" style="112"/>
    <col min="15613" max="15613" width="4.5703125" style="112" customWidth="1"/>
    <col min="15614" max="15614" width="23.42578125" style="112" customWidth="1"/>
    <col min="15615" max="15615" width="7.7109375" style="112" customWidth="1"/>
    <col min="15616" max="15616" width="9.28515625" style="112" customWidth="1"/>
    <col min="15617" max="15618" width="7.28515625" style="112" customWidth="1"/>
    <col min="15619" max="15619" width="9.85546875" style="112" customWidth="1"/>
    <col min="15620" max="15620" width="5.85546875" style="112" customWidth="1"/>
    <col min="15621" max="15621" width="6.28515625" style="112" customWidth="1"/>
    <col min="15622" max="15622" width="8" style="112" customWidth="1"/>
    <col min="15623" max="15623" width="9.5703125" style="112" customWidth="1"/>
    <col min="15624" max="15624" width="11.42578125" style="112" customWidth="1"/>
    <col min="15625" max="15625" width="10.42578125" style="112" customWidth="1"/>
    <col min="15626" max="15626" width="11.85546875" style="112" customWidth="1"/>
    <col min="15627" max="15627" width="12" style="112" customWidth="1"/>
    <col min="15628" max="15629" width="0" style="112" hidden="1" customWidth="1"/>
    <col min="15630" max="15630" width="11.7109375" style="112" customWidth="1"/>
    <col min="15631" max="15868" width="8.85546875" style="112"/>
    <col min="15869" max="15869" width="4.5703125" style="112" customWidth="1"/>
    <col min="15870" max="15870" width="23.42578125" style="112" customWidth="1"/>
    <col min="15871" max="15871" width="7.7109375" style="112" customWidth="1"/>
    <col min="15872" max="15872" width="9.28515625" style="112" customWidth="1"/>
    <col min="15873" max="15874" width="7.28515625" style="112" customWidth="1"/>
    <col min="15875" max="15875" width="9.85546875" style="112" customWidth="1"/>
    <col min="15876" max="15876" width="5.85546875" style="112" customWidth="1"/>
    <col min="15877" max="15877" width="6.28515625" style="112" customWidth="1"/>
    <col min="15878" max="15878" width="8" style="112" customWidth="1"/>
    <col min="15879" max="15879" width="9.5703125" style="112" customWidth="1"/>
    <col min="15880" max="15880" width="11.42578125" style="112" customWidth="1"/>
    <col min="15881" max="15881" width="10.42578125" style="112" customWidth="1"/>
    <col min="15882" max="15882" width="11.85546875" style="112" customWidth="1"/>
    <col min="15883" max="15883" width="12" style="112" customWidth="1"/>
    <col min="15884" max="15885" width="0" style="112" hidden="1" customWidth="1"/>
    <col min="15886" max="15886" width="11.7109375" style="112" customWidth="1"/>
    <col min="15887" max="16124" width="8.85546875" style="112"/>
    <col min="16125" max="16125" width="4.5703125" style="112" customWidth="1"/>
    <col min="16126" max="16126" width="23.42578125" style="112" customWidth="1"/>
    <col min="16127" max="16127" width="7.7109375" style="112" customWidth="1"/>
    <col min="16128" max="16128" width="9.28515625" style="112" customWidth="1"/>
    <col min="16129" max="16130" width="7.28515625" style="112" customWidth="1"/>
    <col min="16131" max="16131" width="9.85546875" style="112" customWidth="1"/>
    <col min="16132" max="16132" width="5.85546875" style="112" customWidth="1"/>
    <col min="16133" max="16133" width="6.28515625" style="112" customWidth="1"/>
    <col min="16134" max="16134" width="8" style="112" customWidth="1"/>
    <col min="16135" max="16135" width="9.5703125" style="112" customWidth="1"/>
    <col min="16136" max="16136" width="11.42578125" style="112" customWidth="1"/>
    <col min="16137" max="16137" width="10.42578125" style="112" customWidth="1"/>
    <col min="16138" max="16138" width="11.85546875" style="112" customWidth="1"/>
    <col min="16139" max="16139" width="12" style="112" customWidth="1"/>
    <col min="16140" max="16141" width="0" style="112" hidden="1" customWidth="1"/>
    <col min="16142" max="16142" width="11.7109375" style="112" customWidth="1"/>
    <col min="16143" max="16384" width="8.85546875" style="112"/>
  </cols>
  <sheetData>
    <row r="1" spans="1:26">
      <c r="Y1" s="63" t="s">
        <v>290</v>
      </c>
    </row>
    <row r="2" spans="1:26" s="88" customFormat="1">
      <c r="B2" s="128"/>
      <c r="Q2" s="129"/>
      <c r="R2" s="63"/>
      <c r="W2" s="112"/>
      <c r="X2" s="112"/>
      <c r="Y2" s="64" t="s">
        <v>291</v>
      </c>
    </row>
    <row r="3" spans="1:26" s="88" customFormat="1">
      <c r="B3" s="128"/>
      <c r="Q3" s="129"/>
      <c r="R3" s="64"/>
      <c r="W3" s="112"/>
      <c r="X3" s="112"/>
      <c r="Y3" s="63" t="s">
        <v>292</v>
      </c>
    </row>
    <row r="4" spans="1:26" s="88" customFormat="1">
      <c r="B4" s="128"/>
      <c r="Q4" s="129"/>
      <c r="R4" s="63"/>
      <c r="W4" s="112"/>
      <c r="X4" s="112"/>
      <c r="Y4" s="63" t="s">
        <v>293</v>
      </c>
    </row>
    <row r="5" spans="1:26" s="88" customFormat="1">
      <c r="B5" s="128"/>
      <c r="Q5" s="129"/>
      <c r="R5" s="63"/>
      <c r="W5" s="112"/>
      <c r="X5" s="112"/>
      <c r="Y5" s="2" t="s">
        <v>298</v>
      </c>
    </row>
    <row r="6" spans="1:26" s="88" customFormat="1">
      <c r="B6" s="128"/>
      <c r="Q6" s="129"/>
      <c r="R6" s="130"/>
      <c r="W6" s="129"/>
      <c r="X6" s="130"/>
    </row>
    <row r="7" spans="1:26" s="88" customFormat="1">
      <c r="A7" s="353" t="s">
        <v>199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3"/>
      <c r="X7" s="353"/>
      <c r="Y7" s="353"/>
    </row>
    <row r="8" spans="1:26" s="88" customFormat="1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</row>
    <row r="9" spans="1:26" ht="17.25" customHeight="1">
      <c r="A9" s="370" t="s">
        <v>0</v>
      </c>
      <c r="B9" s="370" t="s">
        <v>149</v>
      </c>
      <c r="C9" s="370" t="s">
        <v>150</v>
      </c>
      <c r="D9" s="370" t="s">
        <v>151</v>
      </c>
      <c r="E9" s="370" t="s">
        <v>152</v>
      </c>
      <c r="F9" s="371" t="s">
        <v>153</v>
      </c>
      <c r="G9" s="360" t="s">
        <v>154</v>
      </c>
      <c r="H9" s="361"/>
      <c r="I9" s="361"/>
      <c r="J9" s="361"/>
      <c r="K9" s="361"/>
      <c r="L9" s="361"/>
      <c r="M9" s="361"/>
      <c r="N9" s="361"/>
      <c r="O9" s="361"/>
      <c r="P9" s="361"/>
      <c r="Q9" s="362"/>
      <c r="R9" s="370" t="s">
        <v>155</v>
      </c>
      <c r="S9" s="370" t="s">
        <v>156</v>
      </c>
      <c r="T9" s="370" t="s">
        <v>157</v>
      </c>
      <c r="U9" s="370" t="s">
        <v>158</v>
      </c>
      <c r="V9" s="370" t="s">
        <v>159</v>
      </c>
      <c r="W9" s="354" t="s">
        <v>160</v>
      </c>
      <c r="X9" s="354" t="s">
        <v>161</v>
      </c>
      <c r="Y9" s="354" t="s">
        <v>162</v>
      </c>
    </row>
    <row r="10" spans="1:26" ht="113.45" customHeight="1">
      <c r="A10" s="370"/>
      <c r="B10" s="370"/>
      <c r="C10" s="370"/>
      <c r="D10" s="370"/>
      <c r="E10" s="370"/>
      <c r="F10" s="371"/>
      <c r="G10" s="370" t="s">
        <v>163</v>
      </c>
      <c r="H10" s="370"/>
      <c r="I10" s="91" t="s">
        <v>164</v>
      </c>
      <c r="J10" s="370" t="s">
        <v>165</v>
      </c>
      <c r="K10" s="370"/>
      <c r="L10" s="366" t="s">
        <v>185</v>
      </c>
      <c r="M10" s="367"/>
      <c r="N10" s="370" t="s">
        <v>167</v>
      </c>
      <c r="O10" s="370"/>
      <c r="P10" s="368" t="s">
        <v>168</v>
      </c>
      <c r="Q10" s="369"/>
      <c r="R10" s="370"/>
      <c r="S10" s="370"/>
      <c r="T10" s="370"/>
      <c r="U10" s="370"/>
      <c r="V10" s="370"/>
      <c r="W10" s="356"/>
      <c r="X10" s="356"/>
      <c r="Y10" s="356"/>
    </row>
    <row r="11" spans="1:26" ht="20.45" customHeight="1">
      <c r="A11" s="370"/>
      <c r="B11" s="370"/>
      <c r="C11" s="370"/>
      <c r="D11" s="370"/>
      <c r="E11" s="370"/>
      <c r="F11" s="371"/>
      <c r="G11" s="94" t="s">
        <v>169</v>
      </c>
      <c r="H11" s="94" t="s">
        <v>170</v>
      </c>
      <c r="I11" s="94" t="s">
        <v>170</v>
      </c>
      <c r="J11" s="94" t="s">
        <v>169</v>
      </c>
      <c r="K11" s="94" t="s">
        <v>170</v>
      </c>
      <c r="L11" s="94" t="s">
        <v>169</v>
      </c>
      <c r="M11" s="94" t="s">
        <v>170</v>
      </c>
      <c r="N11" s="94" t="s">
        <v>169</v>
      </c>
      <c r="O11" s="94" t="s">
        <v>170</v>
      </c>
      <c r="P11" s="94" t="s">
        <v>169</v>
      </c>
      <c r="Q11" s="94" t="s">
        <v>170</v>
      </c>
      <c r="R11" s="94" t="s">
        <v>170</v>
      </c>
      <c r="S11" s="94" t="s">
        <v>170</v>
      </c>
      <c r="T11" s="94" t="s">
        <v>170</v>
      </c>
      <c r="U11" s="94" t="s">
        <v>170</v>
      </c>
      <c r="V11" s="94" t="s">
        <v>170</v>
      </c>
      <c r="W11" s="94" t="s">
        <v>170</v>
      </c>
      <c r="X11" s="94" t="s">
        <v>170</v>
      </c>
      <c r="Y11" s="94" t="s">
        <v>170</v>
      </c>
    </row>
    <row r="12" spans="1:26" ht="17.25" customHeight="1">
      <c r="A12" s="94">
        <v>1</v>
      </c>
      <c r="B12" s="94">
        <v>2</v>
      </c>
      <c r="C12" s="94">
        <v>3</v>
      </c>
      <c r="D12" s="94">
        <v>4</v>
      </c>
      <c r="E12" s="94">
        <v>5</v>
      </c>
      <c r="F12" s="94">
        <v>6</v>
      </c>
      <c r="G12" s="94">
        <v>7</v>
      </c>
      <c r="H12" s="94">
        <v>8</v>
      </c>
      <c r="I12" s="94">
        <v>9</v>
      </c>
      <c r="J12" s="94">
        <v>10</v>
      </c>
      <c r="K12" s="94">
        <v>11</v>
      </c>
      <c r="L12" s="94">
        <v>12</v>
      </c>
      <c r="M12" s="94">
        <v>13</v>
      </c>
      <c r="N12" s="94">
        <v>9</v>
      </c>
      <c r="O12" s="94">
        <v>10</v>
      </c>
      <c r="P12" s="94">
        <v>11</v>
      </c>
      <c r="Q12" s="94">
        <v>12</v>
      </c>
      <c r="R12" s="94">
        <v>13</v>
      </c>
      <c r="S12" s="94">
        <v>14</v>
      </c>
      <c r="T12" s="94">
        <v>15</v>
      </c>
      <c r="U12" s="94">
        <v>16</v>
      </c>
      <c r="V12" s="94">
        <v>17</v>
      </c>
      <c r="W12" s="94">
        <v>18</v>
      </c>
      <c r="X12" s="94">
        <v>19</v>
      </c>
      <c r="Y12" s="94">
        <v>20</v>
      </c>
    </row>
    <row r="13" spans="1:26">
      <c r="A13" s="363" t="s">
        <v>206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5"/>
    </row>
    <row r="14" spans="1:26">
      <c r="A14" s="96">
        <v>1</v>
      </c>
      <c r="B14" s="108" t="s">
        <v>200</v>
      </c>
      <c r="C14" s="134">
        <v>1</v>
      </c>
      <c r="D14" s="105">
        <v>7040</v>
      </c>
      <c r="E14" s="135">
        <v>4</v>
      </c>
      <c r="F14" s="105">
        <f>+D14*E14</f>
        <v>28160</v>
      </c>
      <c r="G14" s="100">
        <v>0.3</v>
      </c>
      <c r="H14" s="105">
        <f>F14*G14</f>
        <v>8448</v>
      </c>
      <c r="I14" s="98"/>
      <c r="J14" s="98"/>
      <c r="K14" s="98"/>
      <c r="L14" s="98"/>
      <c r="M14" s="98"/>
      <c r="N14" s="100">
        <f>10%+40%</f>
        <v>0.5</v>
      </c>
      <c r="O14" s="105">
        <f>F14*N14</f>
        <v>14080</v>
      </c>
      <c r="P14" s="98"/>
      <c r="Q14" s="98">
        <f>F14*P14</f>
        <v>0</v>
      </c>
      <c r="R14" s="105">
        <f>+F14+H14+I14+K14+O14</f>
        <v>50688</v>
      </c>
      <c r="S14" s="105">
        <f>R14*C14</f>
        <v>50688</v>
      </c>
      <c r="T14" s="98">
        <f>(((S14+(S14*14.0135/12/12)))*3/3/29.6)*30</f>
        <v>56372.383783783785</v>
      </c>
      <c r="U14" s="105">
        <f>S14*2</f>
        <v>101376</v>
      </c>
      <c r="V14" s="98">
        <f>(S14*14.0135)/12</f>
        <v>59193.024000000005</v>
      </c>
      <c r="W14" s="105">
        <f>(S14*7)+T14+U14+V14</f>
        <v>571757.40778378374</v>
      </c>
      <c r="X14" s="105">
        <f>((S14*7)+T14+V14)*0.1725</f>
        <v>81140.792842702693</v>
      </c>
      <c r="Y14" s="105">
        <f>W14+X14</f>
        <v>652898.20062648645</v>
      </c>
    </row>
    <row r="15" spans="1:26">
      <c r="A15" s="96">
        <v>2</v>
      </c>
      <c r="B15" s="8" t="s">
        <v>187</v>
      </c>
      <c r="C15" s="134">
        <v>1</v>
      </c>
      <c r="D15" s="105">
        <v>7040</v>
      </c>
      <c r="E15" s="131">
        <v>3.43</v>
      </c>
      <c r="F15" s="105">
        <f>+D15*E15</f>
        <v>24147.200000000001</v>
      </c>
      <c r="G15" s="100">
        <v>0.2</v>
      </c>
      <c r="H15" s="105">
        <f>F15*G15</f>
        <v>4829.4400000000005</v>
      </c>
      <c r="I15" s="98"/>
      <c r="J15" s="98"/>
      <c r="K15" s="98"/>
      <c r="L15" s="98"/>
      <c r="M15" s="98"/>
      <c r="N15" s="199">
        <f>10%+20%</f>
        <v>0.30000000000000004</v>
      </c>
      <c r="O15" s="105">
        <f>F15*N15</f>
        <v>7244.1600000000017</v>
      </c>
      <c r="P15" s="98"/>
      <c r="Q15" s="98"/>
      <c r="R15" s="105">
        <f>+F15+H15+I15+K15+O15</f>
        <v>36220.800000000003</v>
      </c>
      <c r="S15" s="105">
        <f>R15*C15</f>
        <v>36220.800000000003</v>
      </c>
      <c r="T15" s="98">
        <f>(((S15+(S15*14.0135/12/12)))*3/3/29.6)*28</f>
        <v>37597.248184684693</v>
      </c>
      <c r="U15" s="105">
        <f>S15*2</f>
        <v>72441.600000000006</v>
      </c>
      <c r="V15" s="98">
        <f>(S15*14.0135)/12</f>
        <v>42298.348400000003</v>
      </c>
      <c r="W15" s="105">
        <f>(S15*7)+T15+U15+V15</f>
        <v>405882.79658468475</v>
      </c>
      <c r="X15" s="105">
        <f>((S15*7)+T15+V15)*0.1725</f>
        <v>57518.606410858119</v>
      </c>
      <c r="Y15" s="105">
        <f>W15+X15</f>
        <v>463401.40299554286</v>
      </c>
    </row>
    <row r="16" spans="1:26">
      <c r="A16" s="96">
        <v>3</v>
      </c>
      <c r="B16" s="8" t="s">
        <v>201</v>
      </c>
      <c r="C16" s="134">
        <v>1</v>
      </c>
      <c r="D16" s="105">
        <v>7040</v>
      </c>
      <c r="E16" s="131">
        <v>3.43</v>
      </c>
      <c r="F16" s="105">
        <f>+D16*E16</f>
        <v>24147.200000000001</v>
      </c>
      <c r="G16" s="100">
        <v>0.2</v>
      </c>
      <c r="H16" s="105">
        <f>F16*G16</f>
        <v>4829.4400000000005</v>
      </c>
      <c r="I16" s="98"/>
      <c r="J16" s="98"/>
      <c r="K16" s="98"/>
      <c r="L16" s="98"/>
      <c r="M16" s="98"/>
      <c r="N16" s="199">
        <v>0.3</v>
      </c>
      <c r="O16" s="105">
        <f>F16*N16</f>
        <v>7244.16</v>
      </c>
      <c r="P16" s="98"/>
      <c r="Q16" s="98"/>
      <c r="R16" s="105">
        <f>+F16+H16+I16+K16+O16</f>
        <v>36220.800000000003</v>
      </c>
      <c r="S16" s="105">
        <f>R16*C16</f>
        <v>36220.800000000003</v>
      </c>
      <c r="T16" s="98">
        <f>(((S16+(S16*14.0135/12/12)))*3/3/29.6)*28</f>
        <v>37597.248184684693</v>
      </c>
      <c r="U16" s="105">
        <f>S16*2</f>
        <v>72441.600000000006</v>
      </c>
      <c r="V16" s="98">
        <f>(S16*14.0135)/12</f>
        <v>42298.348400000003</v>
      </c>
      <c r="W16" s="105">
        <f>(S16*7)+T16+U16+V16</f>
        <v>405882.79658468475</v>
      </c>
      <c r="X16" s="105">
        <f>((S16*7)+T16+V16)*0.1725</f>
        <v>57518.606410858119</v>
      </c>
      <c r="Y16" s="105">
        <f>W16+X16</f>
        <v>463401.40299554286</v>
      </c>
      <c r="Z16" s="132"/>
    </row>
    <row r="17" spans="1:26">
      <c r="A17" s="96">
        <v>4</v>
      </c>
      <c r="B17" s="8" t="s">
        <v>202</v>
      </c>
      <c r="C17" s="134">
        <v>1</v>
      </c>
      <c r="D17" s="105">
        <v>7040</v>
      </c>
      <c r="E17" s="131">
        <v>2.5099999999999998</v>
      </c>
      <c r="F17" s="105">
        <f>+D17*E17</f>
        <v>17670.399999999998</v>
      </c>
      <c r="G17" s="100">
        <v>0.15</v>
      </c>
      <c r="H17" s="105">
        <f>F17*G17</f>
        <v>2650.5599999999995</v>
      </c>
      <c r="I17" s="98"/>
      <c r="J17" s="98"/>
      <c r="K17" s="98"/>
      <c r="L17" s="98"/>
      <c r="M17" s="98"/>
      <c r="N17" s="199">
        <f>20%+20%</f>
        <v>0.4</v>
      </c>
      <c r="O17" s="105">
        <f>F17*N17</f>
        <v>7068.16</v>
      </c>
      <c r="P17" s="98"/>
      <c r="Q17" s="98">
        <f>F17*P17</f>
        <v>0</v>
      </c>
      <c r="R17" s="105">
        <f>+F17+H17+I17+K17+O17</f>
        <v>27389.119999999999</v>
      </c>
      <c r="S17" s="105">
        <f>R17*C17</f>
        <v>27389.119999999999</v>
      </c>
      <c r="T17" s="98">
        <f>(((S17+(S17*14.0135/12/12)))*3/3/29.6)*28</f>
        <v>28429.950255105105</v>
      </c>
      <c r="U17" s="105">
        <f>S17*2</f>
        <v>54778.239999999998</v>
      </c>
      <c r="V17" s="98">
        <f>(S17*14.0135)/12</f>
        <v>31984.786093333332</v>
      </c>
      <c r="W17" s="105">
        <f>(S17*7)+T17+U17+V17</f>
        <v>306916.81634843844</v>
      </c>
      <c r="X17" s="105">
        <f>((S17*7)+T17+V17)*0.1725</f>
        <v>43493.904420105624</v>
      </c>
      <c r="Y17" s="105">
        <f>W17+X17</f>
        <v>350410.72076854407</v>
      </c>
    </row>
    <row r="18" spans="1:26" ht="13.15" customHeight="1">
      <c r="A18" s="96"/>
      <c r="B18" s="94" t="s">
        <v>194</v>
      </c>
      <c r="C18" s="133">
        <f>SUM(C14:C17)</f>
        <v>4</v>
      </c>
      <c r="D18" s="133">
        <f t="shared" ref="D18:Y18" si="0">SUM(D14:D17)</f>
        <v>28160</v>
      </c>
      <c r="E18" s="133"/>
      <c r="F18" s="133">
        <f t="shared" si="0"/>
        <v>94124.799999999988</v>
      </c>
      <c r="G18" s="133"/>
      <c r="H18" s="133">
        <f t="shared" si="0"/>
        <v>20757.440000000002</v>
      </c>
      <c r="I18" s="133">
        <f t="shared" si="0"/>
        <v>0</v>
      </c>
      <c r="J18" s="133">
        <f t="shared" si="0"/>
        <v>0</v>
      </c>
      <c r="K18" s="133">
        <f t="shared" si="0"/>
        <v>0</v>
      </c>
      <c r="L18" s="133">
        <f t="shared" si="0"/>
        <v>0</v>
      </c>
      <c r="M18" s="133">
        <f t="shared" si="0"/>
        <v>0</v>
      </c>
      <c r="N18" s="133"/>
      <c r="O18" s="133">
        <f t="shared" si="0"/>
        <v>35636.480000000003</v>
      </c>
      <c r="P18" s="133">
        <f t="shared" si="0"/>
        <v>0</v>
      </c>
      <c r="Q18" s="133">
        <f t="shared" si="0"/>
        <v>0</v>
      </c>
      <c r="R18" s="133">
        <f t="shared" si="0"/>
        <v>150518.72</v>
      </c>
      <c r="S18" s="133">
        <f t="shared" si="0"/>
        <v>150518.72</v>
      </c>
      <c r="T18" s="133">
        <f t="shared" si="0"/>
        <v>159996.83040825828</v>
      </c>
      <c r="U18" s="133">
        <f t="shared" si="0"/>
        <v>301037.44</v>
      </c>
      <c r="V18" s="133">
        <f t="shared" si="0"/>
        <v>175774.50689333334</v>
      </c>
      <c r="W18" s="133">
        <f t="shared" si="0"/>
        <v>1690439.8173015916</v>
      </c>
      <c r="X18" s="133">
        <f t="shared" si="0"/>
        <v>239671.91008452454</v>
      </c>
      <c r="Y18" s="133">
        <f t="shared" si="0"/>
        <v>1930111.7273861163</v>
      </c>
    </row>
    <row r="19" spans="1:26">
      <c r="A19" s="363" t="s">
        <v>210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5"/>
    </row>
    <row r="20" spans="1:26">
      <c r="A20" s="96">
        <v>1</v>
      </c>
      <c r="B20" s="108" t="s">
        <v>200</v>
      </c>
      <c r="C20" s="134">
        <v>1</v>
      </c>
      <c r="D20" s="105">
        <v>7040</v>
      </c>
      <c r="E20" s="135">
        <v>4</v>
      </c>
      <c r="F20" s="105">
        <f>+D20*E20</f>
        <v>28160</v>
      </c>
      <c r="G20" s="100">
        <v>0.3</v>
      </c>
      <c r="H20" s="105">
        <f>F20*G20</f>
        <v>8448</v>
      </c>
      <c r="I20" s="98"/>
      <c r="J20" s="98"/>
      <c r="K20" s="98"/>
      <c r="L20" s="98"/>
      <c r="M20" s="98"/>
      <c r="N20" s="100">
        <f>10%+40%</f>
        <v>0.5</v>
      </c>
      <c r="O20" s="105">
        <f>F20*N20</f>
        <v>14080</v>
      </c>
      <c r="P20" s="98"/>
      <c r="Q20" s="98">
        <f>F20*P20</f>
        <v>0</v>
      </c>
      <c r="R20" s="105">
        <f>+F20+H20+I20+K20+O20</f>
        <v>50688</v>
      </c>
      <c r="S20" s="105">
        <f>R20*C20</f>
        <v>50688</v>
      </c>
      <c r="T20" s="98">
        <f>(((S20+(S20*14.0135/12/12)))*3/3/29.6)*30</f>
        <v>56372.383783783785</v>
      </c>
      <c r="U20" s="105">
        <f>S20*2</f>
        <v>101376</v>
      </c>
      <c r="V20" s="98">
        <f>(S20*14.0135)/12</f>
        <v>59193.024000000005</v>
      </c>
      <c r="W20" s="105">
        <f t="shared" ref="W20:W21" si="1">(S20*7)+T20+U20+V20</f>
        <v>571757.40778378374</v>
      </c>
      <c r="X20" s="105">
        <f t="shared" ref="X20:X23" si="2">((S20*7)+T20+V20)*0.1725</f>
        <v>81140.792842702693</v>
      </c>
      <c r="Y20" s="105">
        <f>W20+X20</f>
        <v>652898.20062648645</v>
      </c>
    </row>
    <row r="21" spans="1:26">
      <c r="A21" s="96">
        <v>2</v>
      </c>
      <c r="B21" s="8" t="s">
        <v>187</v>
      </c>
      <c r="C21" s="134">
        <v>1</v>
      </c>
      <c r="D21" s="105">
        <v>7040</v>
      </c>
      <c r="E21" s="131">
        <v>3.22</v>
      </c>
      <c r="F21" s="105">
        <f>+D21*E21</f>
        <v>22668.800000000003</v>
      </c>
      <c r="G21" s="100">
        <v>0.2</v>
      </c>
      <c r="H21" s="105">
        <f>F21*G21</f>
        <v>4533.7600000000011</v>
      </c>
      <c r="I21" s="98"/>
      <c r="J21" s="98"/>
      <c r="K21" s="98"/>
      <c r="L21" s="98"/>
      <c r="M21" s="98"/>
      <c r="N21" s="199">
        <v>0.4</v>
      </c>
      <c r="O21" s="105">
        <f>F21*N21</f>
        <v>9067.5200000000023</v>
      </c>
      <c r="P21" s="98"/>
      <c r="Q21" s="98"/>
      <c r="R21" s="105">
        <f>+F21+H21+I21+K21+O21</f>
        <v>36270.080000000009</v>
      </c>
      <c r="S21" s="105">
        <f>R21*C21</f>
        <v>36270.080000000009</v>
      </c>
      <c r="T21" s="98">
        <f>(((S21+(S21*14.0135/12/12)))*3/3/29.6)*28</f>
        <v>37648.400903303307</v>
      </c>
      <c r="U21" s="105">
        <f>S21*2</f>
        <v>72540.160000000018</v>
      </c>
      <c r="V21" s="98">
        <f>(S21*14.0135)/12</f>
        <v>42355.897173333346</v>
      </c>
      <c r="W21" s="105">
        <f t="shared" si="1"/>
        <v>406435.01807663671</v>
      </c>
      <c r="X21" s="105">
        <f t="shared" si="2"/>
        <v>57596.863018219825</v>
      </c>
      <c r="Y21" s="105">
        <f>W21+X21</f>
        <v>464031.88109485654</v>
      </c>
    </row>
    <row r="22" spans="1:26">
      <c r="A22" s="96">
        <v>3</v>
      </c>
      <c r="B22" s="8" t="s">
        <v>201</v>
      </c>
      <c r="C22" s="134">
        <v>1</v>
      </c>
      <c r="D22" s="105">
        <v>7040</v>
      </c>
      <c r="E22" s="131">
        <v>3.22</v>
      </c>
      <c r="F22" s="105">
        <f>+D22*E22</f>
        <v>22668.800000000003</v>
      </c>
      <c r="G22" s="100">
        <v>0.2</v>
      </c>
      <c r="H22" s="105">
        <f>F22*G22</f>
        <v>4533.7600000000011</v>
      </c>
      <c r="I22" s="98"/>
      <c r="J22" s="98"/>
      <c r="K22" s="98"/>
      <c r="L22" s="98"/>
      <c r="M22" s="98"/>
      <c r="N22" s="199">
        <v>0.4</v>
      </c>
      <c r="O22" s="105">
        <f>F22*N22</f>
        <v>9067.5200000000023</v>
      </c>
      <c r="P22" s="98"/>
      <c r="Q22" s="98"/>
      <c r="R22" s="105">
        <f>+F22+H22+I22+K22+O22</f>
        <v>36270.080000000009</v>
      </c>
      <c r="S22" s="105">
        <f>R22*C22</f>
        <v>36270.080000000009</v>
      </c>
      <c r="T22" s="98">
        <f>(((S22+(S22*14.0135/12/12)))*3/3/29.6)*28</f>
        <v>37648.400903303307</v>
      </c>
      <c r="U22" s="105">
        <f>S22*2</f>
        <v>72540.160000000018</v>
      </c>
      <c r="V22" s="98">
        <f>(S22*14.0135)/12</f>
        <v>42355.897173333346</v>
      </c>
      <c r="W22" s="105">
        <f>(S22*7)+T22+U22+V22</f>
        <v>406435.01807663671</v>
      </c>
      <c r="X22" s="105">
        <f t="shared" si="2"/>
        <v>57596.863018219825</v>
      </c>
      <c r="Y22" s="105">
        <f>W22+X22</f>
        <v>464031.88109485654</v>
      </c>
      <c r="Z22" s="132"/>
    </row>
    <row r="23" spans="1:26">
      <c r="A23" s="96">
        <v>4</v>
      </c>
      <c r="B23" s="8" t="s">
        <v>202</v>
      </c>
      <c r="C23" s="134">
        <v>1</v>
      </c>
      <c r="D23" s="105">
        <v>7040</v>
      </c>
      <c r="E23" s="131">
        <v>2.56</v>
      </c>
      <c r="F23" s="105">
        <f>+D23*E23</f>
        <v>18022.400000000001</v>
      </c>
      <c r="G23" s="100">
        <v>0.15</v>
      </c>
      <c r="H23" s="105">
        <f>F23*G23</f>
        <v>2703.36</v>
      </c>
      <c r="I23" s="98"/>
      <c r="J23" s="98"/>
      <c r="K23" s="98"/>
      <c r="L23" s="98"/>
      <c r="M23" s="98"/>
      <c r="N23" s="199">
        <v>0.37</v>
      </c>
      <c r="O23" s="105">
        <f>F23*N23</f>
        <v>6668.2880000000005</v>
      </c>
      <c r="P23" s="98"/>
      <c r="Q23" s="98">
        <f>F23*P23</f>
        <v>0</v>
      </c>
      <c r="R23" s="105">
        <f>+F23+H23+I23+K23+O23</f>
        <v>27394.048000000003</v>
      </c>
      <c r="S23" s="105">
        <f>R23*C23</f>
        <v>27394.048000000003</v>
      </c>
      <c r="T23" s="98">
        <f>(((S23+(S23*14.0135/12/12)))*3/3/29.6)*28</f>
        <v>28435.06552696697</v>
      </c>
      <c r="U23" s="105">
        <f>S23*2</f>
        <v>54788.096000000005</v>
      </c>
      <c r="V23" s="98">
        <f>(S23*14.0135)/12</f>
        <v>31990.540970666669</v>
      </c>
      <c r="W23" s="105">
        <f>(S23*7)+T23+U23+V23</f>
        <v>306972.03849763365</v>
      </c>
      <c r="X23" s="105">
        <f t="shared" si="2"/>
        <v>43501.7300808418</v>
      </c>
      <c r="Y23" s="105">
        <f>W23+X23</f>
        <v>350473.76857847546</v>
      </c>
    </row>
    <row r="24" spans="1:26" ht="13.15" customHeight="1">
      <c r="A24" s="96"/>
      <c r="B24" s="94" t="s">
        <v>194</v>
      </c>
      <c r="C24" s="133">
        <f>SUM(C20:C23)</f>
        <v>4</v>
      </c>
      <c r="D24" s="133">
        <f t="shared" ref="D24" si="3">SUM(D20:D23)</f>
        <v>28160</v>
      </c>
      <c r="E24" s="133"/>
      <c r="F24" s="133">
        <f t="shared" ref="F24" si="4">SUM(F20:F23)</f>
        <v>91520</v>
      </c>
      <c r="G24" s="133"/>
      <c r="H24" s="133">
        <f t="shared" ref="H24:M24" si="5">SUM(H20:H23)</f>
        <v>20218.880000000005</v>
      </c>
      <c r="I24" s="133">
        <f t="shared" si="5"/>
        <v>0</v>
      </c>
      <c r="J24" s="133">
        <f t="shared" si="5"/>
        <v>0</v>
      </c>
      <c r="K24" s="133">
        <f t="shared" si="5"/>
        <v>0</v>
      </c>
      <c r="L24" s="133">
        <f t="shared" si="5"/>
        <v>0</v>
      </c>
      <c r="M24" s="133">
        <f t="shared" si="5"/>
        <v>0</v>
      </c>
      <c r="N24" s="133"/>
      <c r="O24" s="133">
        <f t="shared" ref="O24:Y24" si="6">SUM(O20:O23)</f>
        <v>38883.328000000009</v>
      </c>
      <c r="P24" s="133">
        <f t="shared" si="6"/>
        <v>0</v>
      </c>
      <c r="Q24" s="133">
        <f t="shared" si="6"/>
        <v>0</v>
      </c>
      <c r="R24" s="133">
        <f t="shared" si="6"/>
        <v>150622.20800000004</v>
      </c>
      <c r="S24" s="133">
        <f t="shared" si="6"/>
        <v>150622.20800000004</v>
      </c>
      <c r="T24" s="133">
        <f t="shared" si="6"/>
        <v>160104.25111735737</v>
      </c>
      <c r="U24" s="133">
        <f t="shared" si="6"/>
        <v>301244.41600000008</v>
      </c>
      <c r="V24" s="133">
        <f t="shared" si="6"/>
        <v>175895.35931733338</v>
      </c>
      <c r="W24" s="133">
        <f t="shared" si="6"/>
        <v>1691599.4824346909</v>
      </c>
      <c r="X24" s="133">
        <f t="shared" si="6"/>
        <v>239836.24895998416</v>
      </c>
      <c r="Y24" s="133">
        <f t="shared" si="6"/>
        <v>1931435.7313946751</v>
      </c>
    </row>
    <row r="28" spans="1:26">
      <c r="B28" s="324" t="s">
        <v>302</v>
      </c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</row>
  </sheetData>
  <mergeCells count="24">
    <mergeCell ref="A13:Y13"/>
    <mergeCell ref="A19:Y19"/>
    <mergeCell ref="Y9:Y10"/>
    <mergeCell ref="G10:H10"/>
    <mergeCell ref="J10:K10"/>
    <mergeCell ref="L10:M10"/>
    <mergeCell ref="N10:O10"/>
    <mergeCell ref="P10:Q10"/>
    <mergeCell ref="S9:S10"/>
    <mergeCell ref="T9:T10"/>
    <mergeCell ref="U9:U10"/>
    <mergeCell ref="V9:V10"/>
    <mergeCell ref="W9:W10"/>
    <mergeCell ref="X9:X10"/>
    <mergeCell ref="A7:Y7"/>
    <mergeCell ref="A8:R8"/>
    <mergeCell ref="A9:A11"/>
    <mergeCell ref="B9:B11"/>
    <mergeCell ref="C9:C11"/>
    <mergeCell ref="D9:D11"/>
    <mergeCell ref="E9:E11"/>
    <mergeCell ref="F9:F11"/>
    <mergeCell ref="G9:Q9"/>
    <mergeCell ref="R9:R10"/>
  </mergeCells>
  <pageMargins left="0.39370078740157483" right="0.39370078740157483" top="0.39370078740157483" bottom="0.39370078740157483" header="0.31496062992125984" footer="0.31496062992125984"/>
  <pageSetup paperSize="9" scale="84" fitToHeight="0" orientation="landscape" horizontalDpi="12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47AA8-F52E-477F-ADDF-54A8E3A842F6}">
  <sheetPr>
    <tabColor rgb="FFFFFF00"/>
  </sheetPr>
  <dimension ref="A1:AA29"/>
  <sheetViews>
    <sheetView topLeftCell="A10" workbookViewId="0">
      <selection activeCell="N31" sqref="N31"/>
    </sheetView>
  </sheetViews>
  <sheetFormatPr defaultRowHeight="12.75"/>
  <cols>
    <col min="1" max="1" width="4.5703125" style="112" customWidth="1"/>
    <col min="2" max="2" width="27.7109375" style="112" customWidth="1"/>
    <col min="3" max="3" width="3.7109375" style="112" customWidth="1"/>
    <col min="4" max="4" width="7.7109375" style="112" customWidth="1"/>
    <col min="5" max="5" width="5.85546875" style="112" customWidth="1"/>
    <col min="6" max="6" width="7.7109375" style="112" customWidth="1"/>
    <col min="7" max="7" width="5.85546875" style="112" customWidth="1"/>
    <col min="8" max="8" width="7.5703125" style="112" customWidth="1"/>
    <col min="9" max="9" width="6.28515625" style="112" hidden="1" customWidth="1"/>
    <col min="10" max="10" width="4.7109375" style="112" hidden="1" customWidth="1"/>
    <col min="11" max="11" width="5.140625" style="112" hidden="1" customWidth="1"/>
    <col min="12" max="12" width="5" style="112" hidden="1" customWidth="1"/>
    <col min="13" max="13" width="9" style="112" hidden="1" customWidth="1"/>
    <col min="14" max="14" width="5" style="112" customWidth="1"/>
    <col min="15" max="15" width="7.7109375" style="112" customWidth="1"/>
    <col min="16" max="16" width="4.7109375" style="112" customWidth="1"/>
    <col min="17" max="17" width="6.5703125" style="112" customWidth="1"/>
    <col min="18" max="18" width="8.140625" style="112" customWidth="1"/>
    <col min="19" max="24" width="9" style="112" customWidth="1"/>
    <col min="25" max="25" width="9.7109375" style="112" customWidth="1"/>
    <col min="26" max="26" width="9" style="112" customWidth="1"/>
    <col min="27" max="27" width="10.140625" style="112" customWidth="1"/>
    <col min="28" max="254" width="8.85546875" style="112"/>
    <col min="255" max="255" width="4.5703125" style="112" customWidth="1"/>
    <col min="256" max="256" width="23.42578125" style="112" customWidth="1"/>
    <col min="257" max="257" width="7.7109375" style="112" customWidth="1"/>
    <col min="258" max="258" width="9.28515625" style="112" customWidth="1"/>
    <col min="259" max="260" width="7.28515625" style="112" customWidth="1"/>
    <col min="261" max="261" width="9.85546875" style="112" customWidth="1"/>
    <col min="262" max="262" width="5.85546875" style="112" customWidth="1"/>
    <col min="263" max="263" width="6.28515625" style="112" customWidth="1"/>
    <col min="264" max="264" width="8" style="112" customWidth="1"/>
    <col min="265" max="265" width="9.5703125" style="112" customWidth="1"/>
    <col min="266" max="266" width="11.42578125" style="112" customWidth="1"/>
    <col min="267" max="267" width="10.42578125" style="112" customWidth="1"/>
    <col min="268" max="268" width="11.85546875" style="112" customWidth="1"/>
    <col min="269" max="269" width="12" style="112" customWidth="1"/>
    <col min="270" max="271" width="0" style="112" hidden="1" customWidth="1"/>
    <col min="272" max="272" width="11.7109375" style="112" customWidth="1"/>
    <col min="273" max="510" width="8.85546875" style="112"/>
    <col min="511" max="511" width="4.5703125" style="112" customWidth="1"/>
    <col min="512" max="512" width="23.42578125" style="112" customWidth="1"/>
    <col min="513" max="513" width="7.7109375" style="112" customWidth="1"/>
    <col min="514" max="514" width="9.28515625" style="112" customWidth="1"/>
    <col min="515" max="516" width="7.28515625" style="112" customWidth="1"/>
    <col min="517" max="517" width="9.85546875" style="112" customWidth="1"/>
    <col min="518" max="518" width="5.85546875" style="112" customWidth="1"/>
    <col min="519" max="519" width="6.28515625" style="112" customWidth="1"/>
    <col min="520" max="520" width="8" style="112" customWidth="1"/>
    <col min="521" max="521" width="9.5703125" style="112" customWidth="1"/>
    <col min="522" max="522" width="11.42578125" style="112" customWidth="1"/>
    <col min="523" max="523" width="10.42578125" style="112" customWidth="1"/>
    <col min="524" max="524" width="11.85546875" style="112" customWidth="1"/>
    <col min="525" max="525" width="12" style="112" customWidth="1"/>
    <col min="526" max="527" width="0" style="112" hidden="1" customWidth="1"/>
    <col min="528" max="528" width="11.7109375" style="112" customWidth="1"/>
    <col min="529" max="766" width="8.85546875" style="112"/>
    <col min="767" max="767" width="4.5703125" style="112" customWidth="1"/>
    <col min="768" max="768" width="23.42578125" style="112" customWidth="1"/>
    <col min="769" max="769" width="7.7109375" style="112" customWidth="1"/>
    <col min="770" max="770" width="9.28515625" style="112" customWidth="1"/>
    <col min="771" max="772" width="7.28515625" style="112" customWidth="1"/>
    <col min="773" max="773" width="9.85546875" style="112" customWidth="1"/>
    <col min="774" max="774" width="5.85546875" style="112" customWidth="1"/>
    <col min="775" max="775" width="6.28515625" style="112" customWidth="1"/>
    <col min="776" max="776" width="8" style="112" customWidth="1"/>
    <col min="777" max="777" width="9.5703125" style="112" customWidth="1"/>
    <col min="778" max="778" width="11.42578125" style="112" customWidth="1"/>
    <col min="779" max="779" width="10.42578125" style="112" customWidth="1"/>
    <col min="780" max="780" width="11.85546875" style="112" customWidth="1"/>
    <col min="781" max="781" width="12" style="112" customWidth="1"/>
    <col min="782" max="783" width="0" style="112" hidden="1" customWidth="1"/>
    <col min="784" max="784" width="11.7109375" style="112" customWidth="1"/>
    <col min="785" max="1022" width="8.85546875" style="112"/>
    <col min="1023" max="1023" width="4.5703125" style="112" customWidth="1"/>
    <col min="1024" max="1024" width="23.42578125" style="112" customWidth="1"/>
    <col min="1025" max="1025" width="7.7109375" style="112" customWidth="1"/>
    <col min="1026" max="1026" width="9.28515625" style="112" customWidth="1"/>
    <col min="1027" max="1028" width="7.28515625" style="112" customWidth="1"/>
    <col min="1029" max="1029" width="9.85546875" style="112" customWidth="1"/>
    <col min="1030" max="1030" width="5.85546875" style="112" customWidth="1"/>
    <col min="1031" max="1031" width="6.28515625" style="112" customWidth="1"/>
    <col min="1032" max="1032" width="8" style="112" customWidth="1"/>
    <col min="1033" max="1033" width="9.5703125" style="112" customWidth="1"/>
    <col min="1034" max="1034" width="11.42578125" style="112" customWidth="1"/>
    <col min="1035" max="1035" width="10.42578125" style="112" customWidth="1"/>
    <col min="1036" max="1036" width="11.85546875" style="112" customWidth="1"/>
    <col min="1037" max="1037" width="12" style="112" customWidth="1"/>
    <col min="1038" max="1039" width="0" style="112" hidden="1" customWidth="1"/>
    <col min="1040" max="1040" width="11.7109375" style="112" customWidth="1"/>
    <col min="1041" max="1278" width="8.85546875" style="112"/>
    <col min="1279" max="1279" width="4.5703125" style="112" customWidth="1"/>
    <col min="1280" max="1280" width="23.42578125" style="112" customWidth="1"/>
    <col min="1281" max="1281" width="7.7109375" style="112" customWidth="1"/>
    <col min="1282" max="1282" width="9.28515625" style="112" customWidth="1"/>
    <col min="1283" max="1284" width="7.28515625" style="112" customWidth="1"/>
    <col min="1285" max="1285" width="9.85546875" style="112" customWidth="1"/>
    <col min="1286" max="1286" width="5.85546875" style="112" customWidth="1"/>
    <col min="1287" max="1287" width="6.28515625" style="112" customWidth="1"/>
    <col min="1288" max="1288" width="8" style="112" customWidth="1"/>
    <col min="1289" max="1289" width="9.5703125" style="112" customWidth="1"/>
    <col min="1290" max="1290" width="11.42578125" style="112" customWidth="1"/>
    <col min="1291" max="1291" width="10.42578125" style="112" customWidth="1"/>
    <col min="1292" max="1292" width="11.85546875" style="112" customWidth="1"/>
    <col min="1293" max="1293" width="12" style="112" customWidth="1"/>
    <col min="1294" max="1295" width="0" style="112" hidden="1" customWidth="1"/>
    <col min="1296" max="1296" width="11.7109375" style="112" customWidth="1"/>
    <col min="1297" max="1534" width="8.85546875" style="112"/>
    <col min="1535" max="1535" width="4.5703125" style="112" customWidth="1"/>
    <col min="1536" max="1536" width="23.42578125" style="112" customWidth="1"/>
    <col min="1537" max="1537" width="7.7109375" style="112" customWidth="1"/>
    <col min="1538" max="1538" width="9.28515625" style="112" customWidth="1"/>
    <col min="1539" max="1540" width="7.28515625" style="112" customWidth="1"/>
    <col min="1541" max="1541" width="9.85546875" style="112" customWidth="1"/>
    <col min="1542" max="1542" width="5.85546875" style="112" customWidth="1"/>
    <col min="1543" max="1543" width="6.28515625" style="112" customWidth="1"/>
    <col min="1544" max="1544" width="8" style="112" customWidth="1"/>
    <col min="1545" max="1545" width="9.5703125" style="112" customWidth="1"/>
    <col min="1546" max="1546" width="11.42578125" style="112" customWidth="1"/>
    <col min="1547" max="1547" width="10.42578125" style="112" customWidth="1"/>
    <col min="1548" max="1548" width="11.85546875" style="112" customWidth="1"/>
    <col min="1549" max="1549" width="12" style="112" customWidth="1"/>
    <col min="1550" max="1551" width="0" style="112" hidden="1" customWidth="1"/>
    <col min="1552" max="1552" width="11.7109375" style="112" customWidth="1"/>
    <col min="1553" max="1790" width="8.85546875" style="112"/>
    <col min="1791" max="1791" width="4.5703125" style="112" customWidth="1"/>
    <col min="1792" max="1792" width="23.42578125" style="112" customWidth="1"/>
    <col min="1793" max="1793" width="7.7109375" style="112" customWidth="1"/>
    <col min="1794" max="1794" width="9.28515625" style="112" customWidth="1"/>
    <col min="1795" max="1796" width="7.28515625" style="112" customWidth="1"/>
    <col min="1797" max="1797" width="9.85546875" style="112" customWidth="1"/>
    <col min="1798" max="1798" width="5.85546875" style="112" customWidth="1"/>
    <col min="1799" max="1799" width="6.28515625" style="112" customWidth="1"/>
    <col min="1800" max="1800" width="8" style="112" customWidth="1"/>
    <col min="1801" max="1801" width="9.5703125" style="112" customWidth="1"/>
    <col min="1802" max="1802" width="11.42578125" style="112" customWidth="1"/>
    <col min="1803" max="1803" width="10.42578125" style="112" customWidth="1"/>
    <col min="1804" max="1804" width="11.85546875" style="112" customWidth="1"/>
    <col min="1805" max="1805" width="12" style="112" customWidth="1"/>
    <col min="1806" max="1807" width="0" style="112" hidden="1" customWidth="1"/>
    <col min="1808" max="1808" width="11.7109375" style="112" customWidth="1"/>
    <col min="1809" max="2046" width="8.85546875" style="112"/>
    <col min="2047" max="2047" width="4.5703125" style="112" customWidth="1"/>
    <col min="2048" max="2048" width="23.42578125" style="112" customWidth="1"/>
    <col min="2049" max="2049" width="7.7109375" style="112" customWidth="1"/>
    <col min="2050" max="2050" width="9.28515625" style="112" customWidth="1"/>
    <col min="2051" max="2052" width="7.28515625" style="112" customWidth="1"/>
    <col min="2053" max="2053" width="9.85546875" style="112" customWidth="1"/>
    <col min="2054" max="2054" width="5.85546875" style="112" customWidth="1"/>
    <col min="2055" max="2055" width="6.28515625" style="112" customWidth="1"/>
    <col min="2056" max="2056" width="8" style="112" customWidth="1"/>
    <col min="2057" max="2057" width="9.5703125" style="112" customWidth="1"/>
    <col min="2058" max="2058" width="11.42578125" style="112" customWidth="1"/>
    <col min="2059" max="2059" width="10.42578125" style="112" customWidth="1"/>
    <col min="2060" max="2060" width="11.85546875" style="112" customWidth="1"/>
    <col min="2061" max="2061" width="12" style="112" customWidth="1"/>
    <col min="2062" max="2063" width="0" style="112" hidden="1" customWidth="1"/>
    <col min="2064" max="2064" width="11.7109375" style="112" customWidth="1"/>
    <col min="2065" max="2302" width="8.85546875" style="112"/>
    <col min="2303" max="2303" width="4.5703125" style="112" customWidth="1"/>
    <col min="2304" max="2304" width="23.42578125" style="112" customWidth="1"/>
    <col min="2305" max="2305" width="7.7109375" style="112" customWidth="1"/>
    <col min="2306" max="2306" width="9.28515625" style="112" customWidth="1"/>
    <col min="2307" max="2308" width="7.28515625" style="112" customWidth="1"/>
    <col min="2309" max="2309" width="9.85546875" style="112" customWidth="1"/>
    <col min="2310" max="2310" width="5.85546875" style="112" customWidth="1"/>
    <col min="2311" max="2311" width="6.28515625" style="112" customWidth="1"/>
    <col min="2312" max="2312" width="8" style="112" customWidth="1"/>
    <col min="2313" max="2313" width="9.5703125" style="112" customWidth="1"/>
    <col min="2314" max="2314" width="11.42578125" style="112" customWidth="1"/>
    <col min="2315" max="2315" width="10.42578125" style="112" customWidth="1"/>
    <col min="2316" max="2316" width="11.85546875" style="112" customWidth="1"/>
    <col min="2317" max="2317" width="12" style="112" customWidth="1"/>
    <col min="2318" max="2319" width="0" style="112" hidden="1" customWidth="1"/>
    <col min="2320" max="2320" width="11.7109375" style="112" customWidth="1"/>
    <col min="2321" max="2558" width="8.85546875" style="112"/>
    <col min="2559" max="2559" width="4.5703125" style="112" customWidth="1"/>
    <col min="2560" max="2560" width="23.42578125" style="112" customWidth="1"/>
    <col min="2561" max="2561" width="7.7109375" style="112" customWidth="1"/>
    <col min="2562" max="2562" width="9.28515625" style="112" customWidth="1"/>
    <col min="2563" max="2564" width="7.28515625" style="112" customWidth="1"/>
    <col min="2565" max="2565" width="9.85546875" style="112" customWidth="1"/>
    <col min="2566" max="2566" width="5.85546875" style="112" customWidth="1"/>
    <col min="2567" max="2567" width="6.28515625" style="112" customWidth="1"/>
    <col min="2568" max="2568" width="8" style="112" customWidth="1"/>
    <col min="2569" max="2569" width="9.5703125" style="112" customWidth="1"/>
    <col min="2570" max="2570" width="11.42578125" style="112" customWidth="1"/>
    <col min="2571" max="2571" width="10.42578125" style="112" customWidth="1"/>
    <col min="2572" max="2572" width="11.85546875" style="112" customWidth="1"/>
    <col min="2573" max="2573" width="12" style="112" customWidth="1"/>
    <col min="2574" max="2575" width="0" style="112" hidden="1" customWidth="1"/>
    <col min="2576" max="2576" width="11.7109375" style="112" customWidth="1"/>
    <col min="2577" max="2814" width="8.85546875" style="112"/>
    <col min="2815" max="2815" width="4.5703125" style="112" customWidth="1"/>
    <col min="2816" max="2816" width="23.42578125" style="112" customWidth="1"/>
    <col min="2817" max="2817" width="7.7109375" style="112" customWidth="1"/>
    <col min="2818" max="2818" width="9.28515625" style="112" customWidth="1"/>
    <col min="2819" max="2820" width="7.28515625" style="112" customWidth="1"/>
    <col min="2821" max="2821" width="9.85546875" style="112" customWidth="1"/>
    <col min="2822" max="2822" width="5.85546875" style="112" customWidth="1"/>
    <col min="2823" max="2823" width="6.28515625" style="112" customWidth="1"/>
    <col min="2824" max="2824" width="8" style="112" customWidth="1"/>
    <col min="2825" max="2825" width="9.5703125" style="112" customWidth="1"/>
    <col min="2826" max="2826" width="11.42578125" style="112" customWidth="1"/>
    <col min="2827" max="2827" width="10.42578125" style="112" customWidth="1"/>
    <col min="2828" max="2828" width="11.85546875" style="112" customWidth="1"/>
    <col min="2829" max="2829" width="12" style="112" customWidth="1"/>
    <col min="2830" max="2831" width="0" style="112" hidden="1" customWidth="1"/>
    <col min="2832" max="2832" width="11.7109375" style="112" customWidth="1"/>
    <col min="2833" max="3070" width="8.85546875" style="112"/>
    <col min="3071" max="3071" width="4.5703125" style="112" customWidth="1"/>
    <col min="3072" max="3072" width="23.42578125" style="112" customWidth="1"/>
    <col min="3073" max="3073" width="7.7109375" style="112" customWidth="1"/>
    <col min="3074" max="3074" width="9.28515625" style="112" customWidth="1"/>
    <col min="3075" max="3076" width="7.28515625" style="112" customWidth="1"/>
    <col min="3077" max="3077" width="9.85546875" style="112" customWidth="1"/>
    <col min="3078" max="3078" width="5.85546875" style="112" customWidth="1"/>
    <col min="3079" max="3079" width="6.28515625" style="112" customWidth="1"/>
    <col min="3080" max="3080" width="8" style="112" customWidth="1"/>
    <col min="3081" max="3081" width="9.5703125" style="112" customWidth="1"/>
    <col min="3082" max="3082" width="11.42578125" style="112" customWidth="1"/>
    <col min="3083" max="3083" width="10.42578125" style="112" customWidth="1"/>
    <col min="3084" max="3084" width="11.85546875" style="112" customWidth="1"/>
    <col min="3085" max="3085" width="12" style="112" customWidth="1"/>
    <col min="3086" max="3087" width="0" style="112" hidden="1" customWidth="1"/>
    <col min="3088" max="3088" width="11.7109375" style="112" customWidth="1"/>
    <col min="3089" max="3326" width="8.85546875" style="112"/>
    <col min="3327" max="3327" width="4.5703125" style="112" customWidth="1"/>
    <col min="3328" max="3328" width="23.42578125" style="112" customWidth="1"/>
    <col min="3329" max="3329" width="7.7109375" style="112" customWidth="1"/>
    <col min="3330" max="3330" width="9.28515625" style="112" customWidth="1"/>
    <col min="3331" max="3332" width="7.28515625" style="112" customWidth="1"/>
    <col min="3333" max="3333" width="9.85546875" style="112" customWidth="1"/>
    <col min="3334" max="3334" width="5.85546875" style="112" customWidth="1"/>
    <col min="3335" max="3335" width="6.28515625" style="112" customWidth="1"/>
    <col min="3336" max="3336" width="8" style="112" customWidth="1"/>
    <col min="3337" max="3337" width="9.5703125" style="112" customWidth="1"/>
    <col min="3338" max="3338" width="11.42578125" style="112" customWidth="1"/>
    <col min="3339" max="3339" width="10.42578125" style="112" customWidth="1"/>
    <col min="3340" max="3340" width="11.85546875" style="112" customWidth="1"/>
    <col min="3341" max="3341" width="12" style="112" customWidth="1"/>
    <col min="3342" max="3343" width="0" style="112" hidden="1" customWidth="1"/>
    <col min="3344" max="3344" width="11.7109375" style="112" customWidth="1"/>
    <col min="3345" max="3582" width="8.85546875" style="112"/>
    <col min="3583" max="3583" width="4.5703125" style="112" customWidth="1"/>
    <col min="3584" max="3584" width="23.42578125" style="112" customWidth="1"/>
    <col min="3585" max="3585" width="7.7109375" style="112" customWidth="1"/>
    <col min="3586" max="3586" width="9.28515625" style="112" customWidth="1"/>
    <col min="3587" max="3588" width="7.28515625" style="112" customWidth="1"/>
    <col min="3589" max="3589" width="9.85546875" style="112" customWidth="1"/>
    <col min="3590" max="3590" width="5.85546875" style="112" customWidth="1"/>
    <col min="3591" max="3591" width="6.28515625" style="112" customWidth="1"/>
    <col min="3592" max="3592" width="8" style="112" customWidth="1"/>
    <col min="3593" max="3593" width="9.5703125" style="112" customWidth="1"/>
    <col min="3594" max="3594" width="11.42578125" style="112" customWidth="1"/>
    <col min="3595" max="3595" width="10.42578125" style="112" customWidth="1"/>
    <col min="3596" max="3596" width="11.85546875" style="112" customWidth="1"/>
    <col min="3597" max="3597" width="12" style="112" customWidth="1"/>
    <col min="3598" max="3599" width="0" style="112" hidden="1" customWidth="1"/>
    <col min="3600" max="3600" width="11.7109375" style="112" customWidth="1"/>
    <col min="3601" max="3838" width="8.85546875" style="112"/>
    <col min="3839" max="3839" width="4.5703125" style="112" customWidth="1"/>
    <col min="3840" max="3840" width="23.42578125" style="112" customWidth="1"/>
    <col min="3841" max="3841" width="7.7109375" style="112" customWidth="1"/>
    <col min="3842" max="3842" width="9.28515625" style="112" customWidth="1"/>
    <col min="3843" max="3844" width="7.28515625" style="112" customWidth="1"/>
    <col min="3845" max="3845" width="9.85546875" style="112" customWidth="1"/>
    <col min="3846" max="3846" width="5.85546875" style="112" customWidth="1"/>
    <col min="3847" max="3847" width="6.28515625" style="112" customWidth="1"/>
    <col min="3848" max="3848" width="8" style="112" customWidth="1"/>
    <col min="3849" max="3849" width="9.5703125" style="112" customWidth="1"/>
    <col min="3850" max="3850" width="11.42578125" style="112" customWidth="1"/>
    <col min="3851" max="3851" width="10.42578125" style="112" customWidth="1"/>
    <col min="3852" max="3852" width="11.85546875" style="112" customWidth="1"/>
    <col min="3853" max="3853" width="12" style="112" customWidth="1"/>
    <col min="3854" max="3855" width="0" style="112" hidden="1" customWidth="1"/>
    <col min="3856" max="3856" width="11.7109375" style="112" customWidth="1"/>
    <col min="3857" max="4094" width="8.85546875" style="112"/>
    <col min="4095" max="4095" width="4.5703125" style="112" customWidth="1"/>
    <col min="4096" max="4096" width="23.42578125" style="112" customWidth="1"/>
    <col min="4097" max="4097" width="7.7109375" style="112" customWidth="1"/>
    <col min="4098" max="4098" width="9.28515625" style="112" customWidth="1"/>
    <col min="4099" max="4100" width="7.28515625" style="112" customWidth="1"/>
    <col min="4101" max="4101" width="9.85546875" style="112" customWidth="1"/>
    <col min="4102" max="4102" width="5.85546875" style="112" customWidth="1"/>
    <col min="4103" max="4103" width="6.28515625" style="112" customWidth="1"/>
    <col min="4104" max="4104" width="8" style="112" customWidth="1"/>
    <col min="4105" max="4105" width="9.5703125" style="112" customWidth="1"/>
    <col min="4106" max="4106" width="11.42578125" style="112" customWidth="1"/>
    <col min="4107" max="4107" width="10.42578125" style="112" customWidth="1"/>
    <col min="4108" max="4108" width="11.85546875" style="112" customWidth="1"/>
    <col min="4109" max="4109" width="12" style="112" customWidth="1"/>
    <col min="4110" max="4111" width="0" style="112" hidden="1" customWidth="1"/>
    <col min="4112" max="4112" width="11.7109375" style="112" customWidth="1"/>
    <col min="4113" max="4350" width="8.85546875" style="112"/>
    <col min="4351" max="4351" width="4.5703125" style="112" customWidth="1"/>
    <col min="4352" max="4352" width="23.42578125" style="112" customWidth="1"/>
    <col min="4353" max="4353" width="7.7109375" style="112" customWidth="1"/>
    <col min="4354" max="4354" width="9.28515625" style="112" customWidth="1"/>
    <col min="4355" max="4356" width="7.28515625" style="112" customWidth="1"/>
    <col min="4357" max="4357" width="9.85546875" style="112" customWidth="1"/>
    <col min="4358" max="4358" width="5.85546875" style="112" customWidth="1"/>
    <col min="4359" max="4359" width="6.28515625" style="112" customWidth="1"/>
    <col min="4360" max="4360" width="8" style="112" customWidth="1"/>
    <col min="4361" max="4361" width="9.5703125" style="112" customWidth="1"/>
    <col min="4362" max="4362" width="11.42578125" style="112" customWidth="1"/>
    <col min="4363" max="4363" width="10.42578125" style="112" customWidth="1"/>
    <col min="4364" max="4364" width="11.85546875" style="112" customWidth="1"/>
    <col min="4365" max="4365" width="12" style="112" customWidth="1"/>
    <col min="4366" max="4367" width="0" style="112" hidden="1" customWidth="1"/>
    <col min="4368" max="4368" width="11.7109375" style="112" customWidth="1"/>
    <col min="4369" max="4606" width="8.85546875" style="112"/>
    <col min="4607" max="4607" width="4.5703125" style="112" customWidth="1"/>
    <col min="4608" max="4608" width="23.42578125" style="112" customWidth="1"/>
    <col min="4609" max="4609" width="7.7109375" style="112" customWidth="1"/>
    <col min="4610" max="4610" width="9.28515625" style="112" customWidth="1"/>
    <col min="4611" max="4612" width="7.28515625" style="112" customWidth="1"/>
    <col min="4613" max="4613" width="9.85546875" style="112" customWidth="1"/>
    <col min="4614" max="4614" width="5.85546875" style="112" customWidth="1"/>
    <col min="4615" max="4615" width="6.28515625" style="112" customWidth="1"/>
    <col min="4616" max="4616" width="8" style="112" customWidth="1"/>
    <col min="4617" max="4617" width="9.5703125" style="112" customWidth="1"/>
    <col min="4618" max="4618" width="11.42578125" style="112" customWidth="1"/>
    <col min="4619" max="4619" width="10.42578125" style="112" customWidth="1"/>
    <col min="4620" max="4620" width="11.85546875" style="112" customWidth="1"/>
    <col min="4621" max="4621" width="12" style="112" customWidth="1"/>
    <col min="4622" max="4623" width="0" style="112" hidden="1" customWidth="1"/>
    <col min="4624" max="4624" width="11.7109375" style="112" customWidth="1"/>
    <col min="4625" max="4862" width="8.85546875" style="112"/>
    <col min="4863" max="4863" width="4.5703125" style="112" customWidth="1"/>
    <col min="4864" max="4864" width="23.42578125" style="112" customWidth="1"/>
    <col min="4865" max="4865" width="7.7109375" style="112" customWidth="1"/>
    <col min="4866" max="4866" width="9.28515625" style="112" customWidth="1"/>
    <col min="4867" max="4868" width="7.28515625" style="112" customWidth="1"/>
    <col min="4869" max="4869" width="9.85546875" style="112" customWidth="1"/>
    <col min="4870" max="4870" width="5.85546875" style="112" customWidth="1"/>
    <col min="4871" max="4871" width="6.28515625" style="112" customWidth="1"/>
    <col min="4872" max="4872" width="8" style="112" customWidth="1"/>
    <col min="4873" max="4873" width="9.5703125" style="112" customWidth="1"/>
    <col min="4874" max="4874" width="11.42578125" style="112" customWidth="1"/>
    <col min="4875" max="4875" width="10.42578125" style="112" customWidth="1"/>
    <col min="4876" max="4876" width="11.85546875" style="112" customWidth="1"/>
    <col min="4877" max="4877" width="12" style="112" customWidth="1"/>
    <col min="4878" max="4879" width="0" style="112" hidden="1" customWidth="1"/>
    <col min="4880" max="4880" width="11.7109375" style="112" customWidth="1"/>
    <col min="4881" max="5118" width="8.85546875" style="112"/>
    <col min="5119" max="5119" width="4.5703125" style="112" customWidth="1"/>
    <col min="5120" max="5120" width="23.42578125" style="112" customWidth="1"/>
    <col min="5121" max="5121" width="7.7109375" style="112" customWidth="1"/>
    <col min="5122" max="5122" width="9.28515625" style="112" customWidth="1"/>
    <col min="5123" max="5124" width="7.28515625" style="112" customWidth="1"/>
    <col min="5125" max="5125" width="9.85546875" style="112" customWidth="1"/>
    <col min="5126" max="5126" width="5.85546875" style="112" customWidth="1"/>
    <col min="5127" max="5127" width="6.28515625" style="112" customWidth="1"/>
    <col min="5128" max="5128" width="8" style="112" customWidth="1"/>
    <col min="5129" max="5129" width="9.5703125" style="112" customWidth="1"/>
    <col min="5130" max="5130" width="11.42578125" style="112" customWidth="1"/>
    <col min="5131" max="5131" width="10.42578125" style="112" customWidth="1"/>
    <col min="5132" max="5132" width="11.85546875" style="112" customWidth="1"/>
    <col min="5133" max="5133" width="12" style="112" customWidth="1"/>
    <col min="5134" max="5135" width="0" style="112" hidden="1" customWidth="1"/>
    <col min="5136" max="5136" width="11.7109375" style="112" customWidth="1"/>
    <col min="5137" max="5374" width="8.85546875" style="112"/>
    <col min="5375" max="5375" width="4.5703125" style="112" customWidth="1"/>
    <col min="5376" max="5376" width="23.42578125" style="112" customWidth="1"/>
    <col min="5377" max="5377" width="7.7109375" style="112" customWidth="1"/>
    <col min="5378" max="5378" width="9.28515625" style="112" customWidth="1"/>
    <col min="5379" max="5380" width="7.28515625" style="112" customWidth="1"/>
    <col min="5381" max="5381" width="9.85546875" style="112" customWidth="1"/>
    <col min="5382" max="5382" width="5.85546875" style="112" customWidth="1"/>
    <col min="5383" max="5383" width="6.28515625" style="112" customWidth="1"/>
    <col min="5384" max="5384" width="8" style="112" customWidth="1"/>
    <col min="5385" max="5385" width="9.5703125" style="112" customWidth="1"/>
    <col min="5386" max="5386" width="11.42578125" style="112" customWidth="1"/>
    <col min="5387" max="5387" width="10.42578125" style="112" customWidth="1"/>
    <col min="5388" max="5388" width="11.85546875" style="112" customWidth="1"/>
    <col min="5389" max="5389" width="12" style="112" customWidth="1"/>
    <col min="5390" max="5391" width="0" style="112" hidden="1" customWidth="1"/>
    <col min="5392" max="5392" width="11.7109375" style="112" customWidth="1"/>
    <col min="5393" max="5630" width="8.85546875" style="112"/>
    <col min="5631" max="5631" width="4.5703125" style="112" customWidth="1"/>
    <col min="5632" max="5632" width="23.42578125" style="112" customWidth="1"/>
    <col min="5633" max="5633" width="7.7109375" style="112" customWidth="1"/>
    <col min="5634" max="5634" width="9.28515625" style="112" customWidth="1"/>
    <col min="5635" max="5636" width="7.28515625" style="112" customWidth="1"/>
    <col min="5637" max="5637" width="9.85546875" style="112" customWidth="1"/>
    <col min="5638" max="5638" width="5.85546875" style="112" customWidth="1"/>
    <col min="5639" max="5639" width="6.28515625" style="112" customWidth="1"/>
    <col min="5640" max="5640" width="8" style="112" customWidth="1"/>
    <col min="5641" max="5641" width="9.5703125" style="112" customWidth="1"/>
    <col min="5642" max="5642" width="11.42578125" style="112" customWidth="1"/>
    <col min="5643" max="5643" width="10.42578125" style="112" customWidth="1"/>
    <col min="5644" max="5644" width="11.85546875" style="112" customWidth="1"/>
    <col min="5645" max="5645" width="12" style="112" customWidth="1"/>
    <col min="5646" max="5647" width="0" style="112" hidden="1" customWidth="1"/>
    <col min="5648" max="5648" width="11.7109375" style="112" customWidth="1"/>
    <col min="5649" max="5886" width="8.85546875" style="112"/>
    <col min="5887" max="5887" width="4.5703125" style="112" customWidth="1"/>
    <col min="5888" max="5888" width="23.42578125" style="112" customWidth="1"/>
    <col min="5889" max="5889" width="7.7109375" style="112" customWidth="1"/>
    <col min="5890" max="5890" width="9.28515625" style="112" customWidth="1"/>
    <col min="5891" max="5892" width="7.28515625" style="112" customWidth="1"/>
    <col min="5893" max="5893" width="9.85546875" style="112" customWidth="1"/>
    <col min="5894" max="5894" width="5.85546875" style="112" customWidth="1"/>
    <col min="5895" max="5895" width="6.28515625" style="112" customWidth="1"/>
    <col min="5896" max="5896" width="8" style="112" customWidth="1"/>
    <col min="5897" max="5897" width="9.5703125" style="112" customWidth="1"/>
    <col min="5898" max="5898" width="11.42578125" style="112" customWidth="1"/>
    <col min="5899" max="5899" width="10.42578125" style="112" customWidth="1"/>
    <col min="5900" max="5900" width="11.85546875" style="112" customWidth="1"/>
    <col min="5901" max="5901" width="12" style="112" customWidth="1"/>
    <col min="5902" max="5903" width="0" style="112" hidden="1" customWidth="1"/>
    <col min="5904" max="5904" width="11.7109375" style="112" customWidth="1"/>
    <col min="5905" max="6142" width="8.85546875" style="112"/>
    <col min="6143" max="6143" width="4.5703125" style="112" customWidth="1"/>
    <col min="6144" max="6144" width="23.42578125" style="112" customWidth="1"/>
    <col min="6145" max="6145" width="7.7109375" style="112" customWidth="1"/>
    <col min="6146" max="6146" width="9.28515625" style="112" customWidth="1"/>
    <col min="6147" max="6148" width="7.28515625" style="112" customWidth="1"/>
    <col min="6149" max="6149" width="9.85546875" style="112" customWidth="1"/>
    <col min="6150" max="6150" width="5.85546875" style="112" customWidth="1"/>
    <col min="6151" max="6151" width="6.28515625" style="112" customWidth="1"/>
    <col min="6152" max="6152" width="8" style="112" customWidth="1"/>
    <col min="6153" max="6153" width="9.5703125" style="112" customWidth="1"/>
    <col min="6154" max="6154" width="11.42578125" style="112" customWidth="1"/>
    <col min="6155" max="6155" width="10.42578125" style="112" customWidth="1"/>
    <col min="6156" max="6156" width="11.85546875" style="112" customWidth="1"/>
    <col min="6157" max="6157" width="12" style="112" customWidth="1"/>
    <col min="6158" max="6159" width="0" style="112" hidden="1" customWidth="1"/>
    <col min="6160" max="6160" width="11.7109375" style="112" customWidth="1"/>
    <col min="6161" max="6398" width="8.85546875" style="112"/>
    <col min="6399" max="6399" width="4.5703125" style="112" customWidth="1"/>
    <col min="6400" max="6400" width="23.42578125" style="112" customWidth="1"/>
    <col min="6401" max="6401" width="7.7109375" style="112" customWidth="1"/>
    <col min="6402" max="6402" width="9.28515625" style="112" customWidth="1"/>
    <col min="6403" max="6404" width="7.28515625" style="112" customWidth="1"/>
    <col min="6405" max="6405" width="9.85546875" style="112" customWidth="1"/>
    <col min="6406" max="6406" width="5.85546875" style="112" customWidth="1"/>
    <col min="6407" max="6407" width="6.28515625" style="112" customWidth="1"/>
    <col min="6408" max="6408" width="8" style="112" customWidth="1"/>
    <col min="6409" max="6409" width="9.5703125" style="112" customWidth="1"/>
    <col min="6410" max="6410" width="11.42578125" style="112" customWidth="1"/>
    <col min="6411" max="6411" width="10.42578125" style="112" customWidth="1"/>
    <col min="6412" max="6412" width="11.85546875" style="112" customWidth="1"/>
    <col min="6413" max="6413" width="12" style="112" customWidth="1"/>
    <col min="6414" max="6415" width="0" style="112" hidden="1" customWidth="1"/>
    <col min="6416" max="6416" width="11.7109375" style="112" customWidth="1"/>
    <col min="6417" max="6654" width="8.85546875" style="112"/>
    <col min="6655" max="6655" width="4.5703125" style="112" customWidth="1"/>
    <col min="6656" max="6656" width="23.42578125" style="112" customWidth="1"/>
    <col min="6657" max="6657" width="7.7109375" style="112" customWidth="1"/>
    <col min="6658" max="6658" width="9.28515625" style="112" customWidth="1"/>
    <col min="6659" max="6660" width="7.28515625" style="112" customWidth="1"/>
    <col min="6661" max="6661" width="9.85546875" style="112" customWidth="1"/>
    <col min="6662" max="6662" width="5.85546875" style="112" customWidth="1"/>
    <col min="6663" max="6663" width="6.28515625" style="112" customWidth="1"/>
    <col min="6664" max="6664" width="8" style="112" customWidth="1"/>
    <col min="6665" max="6665" width="9.5703125" style="112" customWidth="1"/>
    <col min="6666" max="6666" width="11.42578125" style="112" customWidth="1"/>
    <col min="6667" max="6667" width="10.42578125" style="112" customWidth="1"/>
    <col min="6668" max="6668" width="11.85546875" style="112" customWidth="1"/>
    <col min="6669" max="6669" width="12" style="112" customWidth="1"/>
    <col min="6670" max="6671" width="0" style="112" hidden="1" customWidth="1"/>
    <col min="6672" max="6672" width="11.7109375" style="112" customWidth="1"/>
    <col min="6673" max="6910" width="8.85546875" style="112"/>
    <col min="6911" max="6911" width="4.5703125" style="112" customWidth="1"/>
    <col min="6912" max="6912" width="23.42578125" style="112" customWidth="1"/>
    <col min="6913" max="6913" width="7.7109375" style="112" customWidth="1"/>
    <col min="6914" max="6914" width="9.28515625" style="112" customWidth="1"/>
    <col min="6915" max="6916" width="7.28515625" style="112" customWidth="1"/>
    <col min="6917" max="6917" width="9.85546875" style="112" customWidth="1"/>
    <col min="6918" max="6918" width="5.85546875" style="112" customWidth="1"/>
    <col min="6919" max="6919" width="6.28515625" style="112" customWidth="1"/>
    <col min="6920" max="6920" width="8" style="112" customWidth="1"/>
    <col min="6921" max="6921" width="9.5703125" style="112" customWidth="1"/>
    <col min="6922" max="6922" width="11.42578125" style="112" customWidth="1"/>
    <col min="6923" max="6923" width="10.42578125" style="112" customWidth="1"/>
    <col min="6924" max="6924" width="11.85546875" style="112" customWidth="1"/>
    <col min="6925" max="6925" width="12" style="112" customWidth="1"/>
    <col min="6926" max="6927" width="0" style="112" hidden="1" customWidth="1"/>
    <col min="6928" max="6928" width="11.7109375" style="112" customWidth="1"/>
    <col min="6929" max="7166" width="8.85546875" style="112"/>
    <col min="7167" max="7167" width="4.5703125" style="112" customWidth="1"/>
    <col min="7168" max="7168" width="23.42578125" style="112" customWidth="1"/>
    <col min="7169" max="7169" width="7.7109375" style="112" customWidth="1"/>
    <col min="7170" max="7170" width="9.28515625" style="112" customWidth="1"/>
    <col min="7171" max="7172" width="7.28515625" style="112" customWidth="1"/>
    <col min="7173" max="7173" width="9.85546875" style="112" customWidth="1"/>
    <col min="7174" max="7174" width="5.85546875" style="112" customWidth="1"/>
    <col min="7175" max="7175" width="6.28515625" style="112" customWidth="1"/>
    <col min="7176" max="7176" width="8" style="112" customWidth="1"/>
    <col min="7177" max="7177" width="9.5703125" style="112" customWidth="1"/>
    <col min="7178" max="7178" width="11.42578125" style="112" customWidth="1"/>
    <col min="7179" max="7179" width="10.42578125" style="112" customWidth="1"/>
    <col min="7180" max="7180" width="11.85546875" style="112" customWidth="1"/>
    <col min="7181" max="7181" width="12" style="112" customWidth="1"/>
    <col min="7182" max="7183" width="0" style="112" hidden="1" customWidth="1"/>
    <col min="7184" max="7184" width="11.7109375" style="112" customWidth="1"/>
    <col min="7185" max="7422" width="8.85546875" style="112"/>
    <col min="7423" max="7423" width="4.5703125" style="112" customWidth="1"/>
    <col min="7424" max="7424" width="23.42578125" style="112" customWidth="1"/>
    <col min="7425" max="7425" width="7.7109375" style="112" customWidth="1"/>
    <col min="7426" max="7426" width="9.28515625" style="112" customWidth="1"/>
    <col min="7427" max="7428" width="7.28515625" style="112" customWidth="1"/>
    <col min="7429" max="7429" width="9.85546875" style="112" customWidth="1"/>
    <col min="7430" max="7430" width="5.85546875" style="112" customWidth="1"/>
    <col min="7431" max="7431" width="6.28515625" style="112" customWidth="1"/>
    <col min="7432" max="7432" width="8" style="112" customWidth="1"/>
    <col min="7433" max="7433" width="9.5703125" style="112" customWidth="1"/>
    <col min="7434" max="7434" width="11.42578125" style="112" customWidth="1"/>
    <col min="7435" max="7435" width="10.42578125" style="112" customWidth="1"/>
    <col min="7436" max="7436" width="11.85546875" style="112" customWidth="1"/>
    <col min="7437" max="7437" width="12" style="112" customWidth="1"/>
    <col min="7438" max="7439" width="0" style="112" hidden="1" customWidth="1"/>
    <col min="7440" max="7440" width="11.7109375" style="112" customWidth="1"/>
    <col min="7441" max="7678" width="8.85546875" style="112"/>
    <col min="7679" max="7679" width="4.5703125" style="112" customWidth="1"/>
    <col min="7680" max="7680" width="23.42578125" style="112" customWidth="1"/>
    <col min="7681" max="7681" width="7.7109375" style="112" customWidth="1"/>
    <col min="7682" max="7682" width="9.28515625" style="112" customWidth="1"/>
    <col min="7683" max="7684" width="7.28515625" style="112" customWidth="1"/>
    <col min="7685" max="7685" width="9.85546875" style="112" customWidth="1"/>
    <col min="7686" max="7686" width="5.85546875" style="112" customWidth="1"/>
    <col min="7687" max="7687" width="6.28515625" style="112" customWidth="1"/>
    <col min="7688" max="7688" width="8" style="112" customWidth="1"/>
    <col min="7689" max="7689" width="9.5703125" style="112" customWidth="1"/>
    <col min="7690" max="7690" width="11.42578125" style="112" customWidth="1"/>
    <col min="7691" max="7691" width="10.42578125" style="112" customWidth="1"/>
    <col min="7692" max="7692" width="11.85546875" style="112" customWidth="1"/>
    <col min="7693" max="7693" width="12" style="112" customWidth="1"/>
    <col min="7694" max="7695" width="0" style="112" hidden="1" customWidth="1"/>
    <col min="7696" max="7696" width="11.7109375" style="112" customWidth="1"/>
    <col min="7697" max="7934" width="8.85546875" style="112"/>
    <col min="7935" max="7935" width="4.5703125" style="112" customWidth="1"/>
    <col min="7936" max="7936" width="23.42578125" style="112" customWidth="1"/>
    <col min="7937" max="7937" width="7.7109375" style="112" customWidth="1"/>
    <col min="7938" max="7938" width="9.28515625" style="112" customWidth="1"/>
    <col min="7939" max="7940" width="7.28515625" style="112" customWidth="1"/>
    <col min="7941" max="7941" width="9.85546875" style="112" customWidth="1"/>
    <col min="7942" max="7942" width="5.85546875" style="112" customWidth="1"/>
    <col min="7943" max="7943" width="6.28515625" style="112" customWidth="1"/>
    <col min="7944" max="7944" width="8" style="112" customWidth="1"/>
    <col min="7945" max="7945" width="9.5703125" style="112" customWidth="1"/>
    <col min="7946" max="7946" width="11.42578125" style="112" customWidth="1"/>
    <col min="7947" max="7947" width="10.42578125" style="112" customWidth="1"/>
    <col min="7948" max="7948" width="11.85546875" style="112" customWidth="1"/>
    <col min="7949" max="7949" width="12" style="112" customWidth="1"/>
    <col min="7950" max="7951" width="0" style="112" hidden="1" customWidth="1"/>
    <col min="7952" max="7952" width="11.7109375" style="112" customWidth="1"/>
    <col min="7953" max="8190" width="8.85546875" style="112"/>
    <col min="8191" max="8191" width="4.5703125" style="112" customWidth="1"/>
    <col min="8192" max="8192" width="23.42578125" style="112" customWidth="1"/>
    <col min="8193" max="8193" width="7.7109375" style="112" customWidth="1"/>
    <col min="8194" max="8194" width="9.28515625" style="112" customWidth="1"/>
    <col min="8195" max="8196" width="7.28515625" style="112" customWidth="1"/>
    <col min="8197" max="8197" width="9.85546875" style="112" customWidth="1"/>
    <col min="8198" max="8198" width="5.85546875" style="112" customWidth="1"/>
    <col min="8199" max="8199" width="6.28515625" style="112" customWidth="1"/>
    <col min="8200" max="8200" width="8" style="112" customWidth="1"/>
    <col min="8201" max="8201" width="9.5703125" style="112" customWidth="1"/>
    <col min="8202" max="8202" width="11.42578125" style="112" customWidth="1"/>
    <col min="8203" max="8203" width="10.42578125" style="112" customWidth="1"/>
    <col min="8204" max="8204" width="11.85546875" style="112" customWidth="1"/>
    <col min="8205" max="8205" width="12" style="112" customWidth="1"/>
    <col min="8206" max="8207" width="0" style="112" hidden="1" customWidth="1"/>
    <col min="8208" max="8208" width="11.7109375" style="112" customWidth="1"/>
    <col min="8209" max="8446" width="8.85546875" style="112"/>
    <col min="8447" max="8447" width="4.5703125" style="112" customWidth="1"/>
    <col min="8448" max="8448" width="23.42578125" style="112" customWidth="1"/>
    <col min="8449" max="8449" width="7.7109375" style="112" customWidth="1"/>
    <col min="8450" max="8450" width="9.28515625" style="112" customWidth="1"/>
    <col min="8451" max="8452" width="7.28515625" style="112" customWidth="1"/>
    <col min="8453" max="8453" width="9.85546875" style="112" customWidth="1"/>
    <col min="8454" max="8454" width="5.85546875" style="112" customWidth="1"/>
    <col min="8455" max="8455" width="6.28515625" style="112" customWidth="1"/>
    <col min="8456" max="8456" width="8" style="112" customWidth="1"/>
    <col min="8457" max="8457" width="9.5703125" style="112" customWidth="1"/>
    <col min="8458" max="8458" width="11.42578125" style="112" customWidth="1"/>
    <col min="8459" max="8459" width="10.42578125" style="112" customWidth="1"/>
    <col min="8460" max="8460" width="11.85546875" style="112" customWidth="1"/>
    <col min="8461" max="8461" width="12" style="112" customWidth="1"/>
    <col min="8462" max="8463" width="0" style="112" hidden="1" customWidth="1"/>
    <col min="8464" max="8464" width="11.7109375" style="112" customWidth="1"/>
    <col min="8465" max="8702" width="8.85546875" style="112"/>
    <col min="8703" max="8703" width="4.5703125" style="112" customWidth="1"/>
    <col min="8704" max="8704" width="23.42578125" style="112" customWidth="1"/>
    <col min="8705" max="8705" width="7.7109375" style="112" customWidth="1"/>
    <col min="8706" max="8706" width="9.28515625" style="112" customWidth="1"/>
    <col min="8707" max="8708" width="7.28515625" style="112" customWidth="1"/>
    <col min="8709" max="8709" width="9.85546875" style="112" customWidth="1"/>
    <col min="8710" max="8710" width="5.85546875" style="112" customWidth="1"/>
    <col min="8711" max="8711" width="6.28515625" style="112" customWidth="1"/>
    <col min="8712" max="8712" width="8" style="112" customWidth="1"/>
    <col min="8713" max="8713" width="9.5703125" style="112" customWidth="1"/>
    <col min="8714" max="8714" width="11.42578125" style="112" customWidth="1"/>
    <col min="8715" max="8715" width="10.42578125" style="112" customWidth="1"/>
    <col min="8716" max="8716" width="11.85546875" style="112" customWidth="1"/>
    <col min="8717" max="8717" width="12" style="112" customWidth="1"/>
    <col min="8718" max="8719" width="0" style="112" hidden="1" customWidth="1"/>
    <col min="8720" max="8720" width="11.7109375" style="112" customWidth="1"/>
    <col min="8721" max="8958" width="8.85546875" style="112"/>
    <col min="8959" max="8959" width="4.5703125" style="112" customWidth="1"/>
    <col min="8960" max="8960" width="23.42578125" style="112" customWidth="1"/>
    <col min="8961" max="8961" width="7.7109375" style="112" customWidth="1"/>
    <col min="8962" max="8962" width="9.28515625" style="112" customWidth="1"/>
    <col min="8963" max="8964" width="7.28515625" style="112" customWidth="1"/>
    <col min="8965" max="8965" width="9.85546875" style="112" customWidth="1"/>
    <col min="8966" max="8966" width="5.85546875" style="112" customWidth="1"/>
    <col min="8967" max="8967" width="6.28515625" style="112" customWidth="1"/>
    <col min="8968" max="8968" width="8" style="112" customWidth="1"/>
    <col min="8969" max="8969" width="9.5703125" style="112" customWidth="1"/>
    <col min="8970" max="8970" width="11.42578125" style="112" customWidth="1"/>
    <col min="8971" max="8971" width="10.42578125" style="112" customWidth="1"/>
    <col min="8972" max="8972" width="11.85546875" style="112" customWidth="1"/>
    <col min="8973" max="8973" width="12" style="112" customWidth="1"/>
    <col min="8974" max="8975" width="0" style="112" hidden="1" customWidth="1"/>
    <col min="8976" max="8976" width="11.7109375" style="112" customWidth="1"/>
    <col min="8977" max="9214" width="8.85546875" style="112"/>
    <col min="9215" max="9215" width="4.5703125" style="112" customWidth="1"/>
    <col min="9216" max="9216" width="23.42578125" style="112" customWidth="1"/>
    <col min="9217" max="9217" width="7.7109375" style="112" customWidth="1"/>
    <col min="9218" max="9218" width="9.28515625" style="112" customWidth="1"/>
    <col min="9219" max="9220" width="7.28515625" style="112" customWidth="1"/>
    <col min="9221" max="9221" width="9.85546875" style="112" customWidth="1"/>
    <col min="9222" max="9222" width="5.85546875" style="112" customWidth="1"/>
    <col min="9223" max="9223" width="6.28515625" style="112" customWidth="1"/>
    <col min="9224" max="9224" width="8" style="112" customWidth="1"/>
    <col min="9225" max="9225" width="9.5703125" style="112" customWidth="1"/>
    <col min="9226" max="9226" width="11.42578125" style="112" customWidth="1"/>
    <col min="9227" max="9227" width="10.42578125" style="112" customWidth="1"/>
    <col min="9228" max="9228" width="11.85546875" style="112" customWidth="1"/>
    <col min="9229" max="9229" width="12" style="112" customWidth="1"/>
    <col min="9230" max="9231" width="0" style="112" hidden="1" customWidth="1"/>
    <col min="9232" max="9232" width="11.7109375" style="112" customWidth="1"/>
    <col min="9233" max="9470" width="8.85546875" style="112"/>
    <col min="9471" max="9471" width="4.5703125" style="112" customWidth="1"/>
    <col min="9472" max="9472" width="23.42578125" style="112" customWidth="1"/>
    <col min="9473" max="9473" width="7.7109375" style="112" customWidth="1"/>
    <col min="9474" max="9474" width="9.28515625" style="112" customWidth="1"/>
    <col min="9475" max="9476" width="7.28515625" style="112" customWidth="1"/>
    <col min="9477" max="9477" width="9.85546875" style="112" customWidth="1"/>
    <col min="9478" max="9478" width="5.85546875" style="112" customWidth="1"/>
    <col min="9479" max="9479" width="6.28515625" style="112" customWidth="1"/>
    <col min="9480" max="9480" width="8" style="112" customWidth="1"/>
    <col min="9481" max="9481" width="9.5703125" style="112" customWidth="1"/>
    <col min="9482" max="9482" width="11.42578125" style="112" customWidth="1"/>
    <col min="9483" max="9483" width="10.42578125" style="112" customWidth="1"/>
    <col min="9484" max="9484" width="11.85546875" style="112" customWidth="1"/>
    <col min="9485" max="9485" width="12" style="112" customWidth="1"/>
    <col min="9486" max="9487" width="0" style="112" hidden="1" customWidth="1"/>
    <col min="9488" max="9488" width="11.7109375" style="112" customWidth="1"/>
    <col min="9489" max="9726" width="8.85546875" style="112"/>
    <col min="9727" max="9727" width="4.5703125" style="112" customWidth="1"/>
    <col min="9728" max="9728" width="23.42578125" style="112" customWidth="1"/>
    <col min="9729" max="9729" width="7.7109375" style="112" customWidth="1"/>
    <col min="9730" max="9730" width="9.28515625" style="112" customWidth="1"/>
    <col min="9731" max="9732" width="7.28515625" style="112" customWidth="1"/>
    <col min="9733" max="9733" width="9.85546875" style="112" customWidth="1"/>
    <col min="9734" max="9734" width="5.85546875" style="112" customWidth="1"/>
    <col min="9735" max="9735" width="6.28515625" style="112" customWidth="1"/>
    <col min="9736" max="9736" width="8" style="112" customWidth="1"/>
    <col min="9737" max="9737" width="9.5703125" style="112" customWidth="1"/>
    <col min="9738" max="9738" width="11.42578125" style="112" customWidth="1"/>
    <col min="9739" max="9739" width="10.42578125" style="112" customWidth="1"/>
    <col min="9740" max="9740" width="11.85546875" style="112" customWidth="1"/>
    <col min="9741" max="9741" width="12" style="112" customWidth="1"/>
    <col min="9742" max="9743" width="0" style="112" hidden="1" customWidth="1"/>
    <col min="9744" max="9744" width="11.7109375" style="112" customWidth="1"/>
    <col min="9745" max="9982" width="8.85546875" style="112"/>
    <col min="9983" max="9983" width="4.5703125" style="112" customWidth="1"/>
    <col min="9984" max="9984" width="23.42578125" style="112" customWidth="1"/>
    <col min="9985" max="9985" width="7.7109375" style="112" customWidth="1"/>
    <col min="9986" max="9986" width="9.28515625" style="112" customWidth="1"/>
    <col min="9987" max="9988" width="7.28515625" style="112" customWidth="1"/>
    <col min="9989" max="9989" width="9.85546875" style="112" customWidth="1"/>
    <col min="9990" max="9990" width="5.85546875" style="112" customWidth="1"/>
    <col min="9991" max="9991" width="6.28515625" style="112" customWidth="1"/>
    <col min="9992" max="9992" width="8" style="112" customWidth="1"/>
    <col min="9993" max="9993" width="9.5703125" style="112" customWidth="1"/>
    <col min="9994" max="9994" width="11.42578125" style="112" customWidth="1"/>
    <col min="9995" max="9995" width="10.42578125" style="112" customWidth="1"/>
    <col min="9996" max="9996" width="11.85546875" style="112" customWidth="1"/>
    <col min="9997" max="9997" width="12" style="112" customWidth="1"/>
    <col min="9998" max="9999" width="0" style="112" hidden="1" customWidth="1"/>
    <col min="10000" max="10000" width="11.7109375" style="112" customWidth="1"/>
    <col min="10001" max="10238" width="8.85546875" style="112"/>
    <col min="10239" max="10239" width="4.5703125" style="112" customWidth="1"/>
    <col min="10240" max="10240" width="23.42578125" style="112" customWidth="1"/>
    <col min="10241" max="10241" width="7.7109375" style="112" customWidth="1"/>
    <col min="10242" max="10242" width="9.28515625" style="112" customWidth="1"/>
    <col min="10243" max="10244" width="7.28515625" style="112" customWidth="1"/>
    <col min="10245" max="10245" width="9.85546875" style="112" customWidth="1"/>
    <col min="10246" max="10246" width="5.85546875" style="112" customWidth="1"/>
    <col min="10247" max="10247" width="6.28515625" style="112" customWidth="1"/>
    <col min="10248" max="10248" width="8" style="112" customWidth="1"/>
    <col min="10249" max="10249" width="9.5703125" style="112" customWidth="1"/>
    <col min="10250" max="10250" width="11.42578125" style="112" customWidth="1"/>
    <col min="10251" max="10251" width="10.42578125" style="112" customWidth="1"/>
    <col min="10252" max="10252" width="11.85546875" style="112" customWidth="1"/>
    <col min="10253" max="10253" width="12" style="112" customWidth="1"/>
    <col min="10254" max="10255" width="0" style="112" hidden="1" customWidth="1"/>
    <col min="10256" max="10256" width="11.7109375" style="112" customWidth="1"/>
    <col min="10257" max="10494" width="8.85546875" style="112"/>
    <col min="10495" max="10495" width="4.5703125" style="112" customWidth="1"/>
    <col min="10496" max="10496" width="23.42578125" style="112" customWidth="1"/>
    <col min="10497" max="10497" width="7.7109375" style="112" customWidth="1"/>
    <col min="10498" max="10498" width="9.28515625" style="112" customWidth="1"/>
    <col min="10499" max="10500" width="7.28515625" style="112" customWidth="1"/>
    <col min="10501" max="10501" width="9.85546875" style="112" customWidth="1"/>
    <col min="10502" max="10502" width="5.85546875" style="112" customWidth="1"/>
    <col min="10503" max="10503" width="6.28515625" style="112" customWidth="1"/>
    <col min="10504" max="10504" width="8" style="112" customWidth="1"/>
    <col min="10505" max="10505" width="9.5703125" style="112" customWidth="1"/>
    <col min="10506" max="10506" width="11.42578125" style="112" customWidth="1"/>
    <col min="10507" max="10507" width="10.42578125" style="112" customWidth="1"/>
    <col min="10508" max="10508" width="11.85546875" style="112" customWidth="1"/>
    <col min="10509" max="10509" width="12" style="112" customWidth="1"/>
    <col min="10510" max="10511" width="0" style="112" hidden="1" customWidth="1"/>
    <col min="10512" max="10512" width="11.7109375" style="112" customWidth="1"/>
    <col min="10513" max="10750" width="8.85546875" style="112"/>
    <col min="10751" max="10751" width="4.5703125" style="112" customWidth="1"/>
    <col min="10752" max="10752" width="23.42578125" style="112" customWidth="1"/>
    <col min="10753" max="10753" width="7.7109375" style="112" customWidth="1"/>
    <col min="10754" max="10754" width="9.28515625" style="112" customWidth="1"/>
    <col min="10755" max="10756" width="7.28515625" style="112" customWidth="1"/>
    <col min="10757" max="10757" width="9.85546875" style="112" customWidth="1"/>
    <col min="10758" max="10758" width="5.85546875" style="112" customWidth="1"/>
    <col min="10759" max="10759" width="6.28515625" style="112" customWidth="1"/>
    <col min="10760" max="10760" width="8" style="112" customWidth="1"/>
    <col min="10761" max="10761" width="9.5703125" style="112" customWidth="1"/>
    <col min="10762" max="10762" width="11.42578125" style="112" customWidth="1"/>
    <col min="10763" max="10763" width="10.42578125" style="112" customWidth="1"/>
    <col min="10764" max="10764" width="11.85546875" style="112" customWidth="1"/>
    <col min="10765" max="10765" width="12" style="112" customWidth="1"/>
    <col min="10766" max="10767" width="0" style="112" hidden="1" customWidth="1"/>
    <col min="10768" max="10768" width="11.7109375" style="112" customWidth="1"/>
    <col min="10769" max="11006" width="8.85546875" style="112"/>
    <col min="11007" max="11007" width="4.5703125" style="112" customWidth="1"/>
    <col min="11008" max="11008" width="23.42578125" style="112" customWidth="1"/>
    <col min="11009" max="11009" width="7.7109375" style="112" customWidth="1"/>
    <col min="11010" max="11010" width="9.28515625" style="112" customWidth="1"/>
    <col min="11011" max="11012" width="7.28515625" style="112" customWidth="1"/>
    <col min="11013" max="11013" width="9.85546875" style="112" customWidth="1"/>
    <col min="11014" max="11014" width="5.85546875" style="112" customWidth="1"/>
    <col min="11015" max="11015" width="6.28515625" style="112" customWidth="1"/>
    <col min="11016" max="11016" width="8" style="112" customWidth="1"/>
    <col min="11017" max="11017" width="9.5703125" style="112" customWidth="1"/>
    <col min="11018" max="11018" width="11.42578125" style="112" customWidth="1"/>
    <col min="11019" max="11019" width="10.42578125" style="112" customWidth="1"/>
    <col min="11020" max="11020" width="11.85546875" style="112" customWidth="1"/>
    <col min="11021" max="11021" width="12" style="112" customWidth="1"/>
    <col min="11022" max="11023" width="0" style="112" hidden="1" customWidth="1"/>
    <col min="11024" max="11024" width="11.7109375" style="112" customWidth="1"/>
    <col min="11025" max="11262" width="8.85546875" style="112"/>
    <col min="11263" max="11263" width="4.5703125" style="112" customWidth="1"/>
    <col min="11264" max="11264" width="23.42578125" style="112" customWidth="1"/>
    <col min="11265" max="11265" width="7.7109375" style="112" customWidth="1"/>
    <col min="11266" max="11266" width="9.28515625" style="112" customWidth="1"/>
    <col min="11267" max="11268" width="7.28515625" style="112" customWidth="1"/>
    <col min="11269" max="11269" width="9.85546875" style="112" customWidth="1"/>
    <col min="11270" max="11270" width="5.85546875" style="112" customWidth="1"/>
    <col min="11271" max="11271" width="6.28515625" style="112" customWidth="1"/>
    <col min="11272" max="11272" width="8" style="112" customWidth="1"/>
    <col min="11273" max="11273" width="9.5703125" style="112" customWidth="1"/>
    <col min="11274" max="11274" width="11.42578125" style="112" customWidth="1"/>
    <col min="11275" max="11275" width="10.42578125" style="112" customWidth="1"/>
    <col min="11276" max="11276" width="11.85546875" style="112" customWidth="1"/>
    <col min="11277" max="11277" width="12" style="112" customWidth="1"/>
    <col min="11278" max="11279" width="0" style="112" hidden="1" customWidth="1"/>
    <col min="11280" max="11280" width="11.7109375" style="112" customWidth="1"/>
    <col min="11281" max="11518" width="8.85546875" style="112"/>
    <col min="11519" max="11519" width="4.5703125" style="112" customWidth="1"/>
    <col min="11520" max="11520" width="23.42578125" style="112" customWidth="1"/>
    <col min="11521" max="11521" width="7.7109375" style="112" customWidth="1"/>
    <col min="11522" max="11522" width="9.28515625" style="112" customWidth="1"/>
    <col min="11523" max="11524" width="7.28515625" style="112" customWidth="1"/>
    <col min="11525" max="11525" width="9.85546875" style="112" customWidth="1"/>
    <col min="11526" max="11526" width="5.85546875" style="112" customWidth="1"/>
    <col min="11527" max="11527" width="6.28515625" style="112" customWidth="1"/>
    <col min="11528" max="11528" width="8" style="112" customWidth="1"/>
    <col min="11529" max="11529" width="9.5703125" style="112" customWidth="1"/>
    <col min="11530" max="11530" width="11.42578125" style="112" customWidth="1"/>
    <col min="11531" max="11531" width="10.42578125" style="112" customWidth="1"/>
    <col min="11532" max="11532" width="11.85546875" style="112" customWidth="1"/>
    <col min="11533" max="11533" width="12" style="112" customWidth="1"/>
    <col min="11534" max="11535" width="0" style="112" hidden="1" customWidth="1"/>
    <col min="11536" max="11536" width="11.7109375" style="112" customWidth="1"/>
    <col min="11537" max="11774" width="8.85546875" style="112"/>
    <col min="11775" max="11775" width="4.5703125" style="112" customWidth="1"/>
    <col min="11776" max="11776" width="23.42578125" style="112" customWidth="1"/>
    <col min="11777" max="11777" width="7.7109375" style="112" customWidth="1"/>
    <col min="11778" max="11778" width="9.28515625" style="112" customWidth="1"/>
    <col min="11779" max="11780" width="7.28515625" style="112" customWidth="1"/>
    <col min="11781" max="11781" width="9.85546875" style="112" customWidth="1"/>
    <col min="11782" max="11782" width="5.85546875" style="112" customWidth="1"/>
    <col min="11783" max="11783" width="6.28515625" style="112" customWidth="1"/>
    <col min="11784" max="11784" width="8" style="112" customWidth="1"/>
    <col min="11785" max="11785" width="9.5703125" style="112" customWidth="1"/>
    <col min="11786" max="11786" width="11.42578125" style="112" customWidth="1"/>
    <col min="11787" max="11787" width="10.42578125" style="112" customWidth="1"/>
    <col min="11788" max="11788" width="11.85546875" style="112" customWidth="1"/>
    <col min="11789" max="11789" width="12" style="112" customWidth="1"/>
    <col min="11790" max="11791" width="0" style="112" hidden="1" customWidth="1"/>
    <col min="11792" max="11792" width="11.7109375" style="112" customWidth="1"/>
    <col min="11793" max="12030" width="8.85546875" style="112"/>
    <col min="12031" max="12031" width="4.5703125" style="112" customWidth="1"/>
    <col min="12032" max="12032" width="23.42578125" style="112" customWidth="1"/>
    <col min="12033" max="12033" width="7.7109375" style="112" customWidth="1"/>
    <col min="12034" max="12034" width="9.28515625" style="112" customWidth="1"/>
    <col min="12035" max="12036" width="7.28515625" style="112" customWidth="1"/>
    <col min="12037" max="12037" width="9.85546875" style="112" customWidth="1"/>
    <col min="12038" max="12038" width="5.85546875" style="112" customWidth="1"/>
    <col min="12039" max="12039" width="6.28515625" style="112" customWidth="1"/>
    <col min="12040" max="12040" width="8" style="112" customWidth="1"/>
    <col min="12041" max="12041" width="9.5703125" style="112" customWidth="1"/>
    <col min="12042" max="12042" width="11.42578125" style="112" customWidth="1"/>
    <col min="12043" max="12043" width="10.42578125" style="112" customWidth="1"/>
    <col min="12044" max="12044" width="11.85546875" style="112" customWidth="1"/>
    <col min="12045" max="12045" width="12" style="112" customWidth="1"/>
    <col min="12046" max="12047" width="0" style="112" hidden="1" customWidth="1"/>
    <col min="12048" max="12048" width="11.7109375" style="112" customWidth="1"/>
    <col min="12049" max="12286" width="8.85546875" style="112"/>
    <col min="12287" max="12287" width="4.5703125" style="112" customWidth="1"/>
    <col min="12288" max="12288" width="23.42578125" style="112" customWidth="1"/>
    <col min="12289" max="12289" width="7.7109375" style="112" customWidth="1"/>
    <col min="12290" max="12290" width="9.28515625" style="112" customWidth="1"/>
    <col min="12291" max="12292" width="7.28515625" style="112" customWidth="1"/>
    <col min="12293" max="12293" width="9.85546875" style="112" customWidth="1"/>
    <col min="12294" max="12294" width="5.85546875" style="112" customWidth="1"/>
    <col min="12295" max="12295" width="6.28515625" style="112" customWidth="1"/>
    <col min="12296" max="12296" width="8" style="112" customWidth="1"/>
    <col min="12297" max="12297" width="9.5703125" style="112" customWidth="1"/>
    <col min="12298" max="12298" width="11.42578125" style="112" customWidth="1"/>
    <col min="12299" max="12299" width="10.42578125" style="112" customWidth="1"/>
    <col min="12300" max="12300" width="11.85546875" style="112" customWidth="1"/>
    <col min="12301" max="12301" width="12" style="112" customWidth="1"/>
    <col min="12302" max="12303" width="0" style="112" hidden="1" customWidth="1"/>
    <col min="12304" max="12304" width="11.7109375" style="112" customWidth="1"/>
    <col min="12305" max="12542" width="8.85546875" style="112"/>
    <col min="12543" max="12543" width="4.5703125" style="112" customWidth="1"/>
    <col min="12544" max="12544" width="23.42578125" style="112" customWidth="1"/>
    <col min="12545" max="12545" width="7.7109375" style="112" customWidth="1"/>
    <col min="12546" max="12546" width="9.28515625" style="112" customWidth="1"/>
    <col min="12547" max="12548" width="7.28515625" style="112" customWidth="1"/>
    <col min="12549" max="12549" width="9.85546875" style="112" customWidth="1"/>
    <col min="12550" max="12550" width="5.85546875" style="112" customWidth="1"/>
    <col min="12551" max="12551" width="6.28515625" style="112" customWidth="1"/>
    <col min="12552" max="12552" width="8" style="112" customWidth="1"/>
    <col min="12553" max="12553" width="9.5703125" style="112" customWidth="1"/>
    <col min="12554" max="12554" width="11.42578125" style="112" customWidth="1"/>
    <col min="12555" max="12555" width="10.42578125" style="112" customWidth="1"/>
    <col min="12556" max="12556" width="11.85546875" style="112" customWidth="1"/>
    <col min="12557" max="12557" width="12" style="112" customWidth="1"/>
    <col min="12558" max="12559" width="0" style="112" hidden="1" customWidth="1"/>
    <col min="12560" max="12560" width="11.7109375" style="112" customWidth="1"/>
    <col min="12561" max="12798" width="8.85546875" style="112"/>
    <col min="12799" max="12799" width="4.5703125" style="112" customWidth="1"/>
    <col min="12800" max="12800" width="23.42578125" style="112" customWidth="1"/>
    <col min="12801" max="12801" width="7.7109375" style="112" customWidth="1"/>
    <col min="12802" max="12802" width="9.28515625" style="112" customWidth="1"/>
    <col min="12803" max="12804" width="7.28515625" style="112" customWidth="1"/>
    <col min="12805" max="12805" width="9.85546875" style="112" customWidth="1"/>
    <col min="12806" max="12806" width="5.85546875" style="112" customWidth="1"/>
    <col min="12807" max="12807" width="6.28515625" style="112" customWidth="1"/>
    <col min="12808" max="12808" width="8" style="112" customWidth="1"/>
    <col min="12809" max="12809" width="9.5703125" style="112" customWidth="1"/>
    <col min="12810" max="12810" width="11.42578125" style="112" customWidth="1"/>
    <col min="12811" max="12811" width="10.42578125" style="112" customWidth="1"/>
    <col min="12812" max="12812" width="11.85546875" style="112" customWidth="1"/>
    <col min="12813" max="12813" width="12" style="112" customWidth="1"/>
    <col min="12814" max="12815" width="0" style="112" hidden="1" customWidth="1"/>
    <col min="12816" max="12816" width="11.7109375" style="112" customWidth="1"/>
    <col min="12817" max="13054" width="8.85546875" style="112"/>
    <col min="13055" max="13055" width="4.5703125" style="112" customWidth="1"/>
    <col min="13056" max="13056" width="23.42578125" style="112" customWidth="1"/>
    <col min="13057" max="13057" width="7.7109375" style="112" customWidth="1"/>
    <col min="13058" max="13058" width="9.28515625" style="112" customWidth="1"/>
    <col min="13059" max="13060" width="7.28515625" style="112" customWidth="1"/>
    <col min="13061" max="13061" width="9.85546875" style="112" customWidth="1"/>
    <col min="13062" max="13062" width="5.85546875" style="112" customWidth="1"/>
    <col min="13063" max="13063" width="6.28515625" style="112" customWidth="1"/>
    <col min="13064" max="13064" width="8" style="112" customWidth="1"/>
    <col min="13065" max="13065" width="9.5703125" style="112" customWidth="1"/>
    <col min="13066" max="13066" width="11.42578125" style="112" customWidth="1"/>
    <col min="13067" max="13067" width="10.42578125" style="112" customWidth="1"/>
    <col min="13068" max="13068" width="11.85546875" style="112" customWidth="1"/>
    <col min="13069" max="13069" width="12" style="112" customWidth="1"/>
    <col min="13070" max="13071" width="0" style="112" hidden="1" customWidth="1"/>
    <col min="13072" max="13072" width="11.7109375" style="112" customWidth="1"/>
    <col min="13073" max="13310" width="8.85546875" style="112"/>
    <col min="13311" max="13311" width="4.5703125" style="112" customWidth="1"/>
    <col min="13312" max="13312" width="23.42578125" style="112" customWidth="1"/>
    <col min="13313" max="13313" width="7.7109375" style="112" customWidth="1"/>
    <col min="13314" max="13314" width="9.28515625" style="112" customWidth="1"/>
    <col min="13315" max="13316" width="7.28515625" style="112" customWidth="1"/>
    <col min="13317" max="13317" width="9.85546875" style="112" customWidth="1"/>
    <col min="13318" max="13318" width="5.85546875" style="112" customWidth="1"/>
    <col min="13319" max="13319" width="6.28515625" style="112" customWidth="1"/>
    <col min="13320" max="13320" width="8" style="112" customWidth="1"/>
    <col min="13321" max="13321" width="9.5703125" style="112" customWidth="1"/>
    <col min="13322" max="13322" width="11.42578125" style="112" customWidth="1"/>
    <col min="13323" max="13323" width="10.42578125" style="112" customWidth="1"/>
    <col min="13324" max="13324" width="11.85546875" style="112" customWidth="1"/>
    <col min="13325" max="13325" width="12" style="112" customWidth="1"/>
    <col min="13326" max="13327" width="0" style="112" hidden="1" customWidth="1"/>
    <col min="13328" max="13328" width="11.7109375" style="112" customWidth="1"/>
    <col min="13329" max="13566" width="8.85546875" style="112"/>
    <col min="13567" max="13567" width="4.5703125" style="112" customWidth="1"/>
    <col min="13568" max="13568" width="23.42578125" style="112" customWidth="1"/>
    <col min="13569" max="13569" width="7.7109375" style="112" customWidth="1"/>
    <col min="13570" max="13570" width="9.28515625" style="112" customWidth="1"/>
    <col min="13571" max="13572" width="7.28515625" style="112" customWidth="1"/>
    <col min="13573" max="13573" width="9.85546875" style="112" customWidth="1"/>
    <col min="13574" max="13574" width="5.85546875" style="112" customWidth="1"/>
    <col min="13575" max="13575" width="6.28515625" style="112" customWidth="1"/>
    <col min="13576" max="13576" width="8" style="112" customWidth="1"/>
    <col min="13577" max="13577" width="9.5703125" style="112" customWidth="1"/>
    <col min="13578" max="13578" width="11.42578125" style="112" customWidth="1"/>
    <col min="13579" max="13579" width="10.42578125" style="112" customWidth="1"/>
    <col min="13580" max="13580" width="11.85546875" style="112" customWidth="1"/>
    <col min="13581" max="13581" width="12" style="112" customWidth="1"/>
    <col min="13582" max="13583" width="0" style="112" hidden="1" customWidth="1"/>
    <col min="13584" max="13584" width="11.7109375" style="112" customWidth="1"/>
    <col min="13585" max="13822" width="8.85546875" style="112"/>
    <col min="13823" max="13823" width="4.5703125" style="112" customWidth="1"/>
    <col min="13824" max="13824" width="23.42578125" style="112" customWidth="1"/>
    <col min="13825" max="13825" width="7.7109375" style="112" customWidth="1"/>
    <col min="13826" max="13826" width="9.28515625" style="112" customWidth="1"/>
    <col min="13827" max="13828" width="7.28515625" style="112" customWidth="1"/>
    <col min="13829" max="13829" width="9.85546875" style="112" customWidth="1"/>
    <col min="13830" max="13830" width="5.85546875" style="112" customWidth="1"/>
    <col min="13831" max="13831" width="6.28515625" style="112" customWidth="1"/>
    <col min="13832" max="13832" width="8" style="112" customWidth="1"/>
    <col min="13833" max="13833" width="9.5703125" style="112" customWidth="1"/>
    <col min="13834" max="13834" width="11.42578125" style="112" customWidth="1"/>
    <col min="13835" max="13835" width="10.42578125" style="112" customWidth="1"/>
    <col min="13836" max="13836" width="11.85546875" style="112" customWidth="1"/>
    <col min="13837" max="13837" width="12" style="112" customWidth="1"/>
    <col min="13838" max="13839" width="0" style="112" hidden="1" customWidth="1"/>
    <col min="13840" max="13840" width="11.7109375" style="112" customWidth="1"/>
    <col min="13841" max="14078" width="8.85546875" style="112"/>
    <col min="14079" max="14079" width="4.5703125" style="112" customWidth="1"/>
    <col min="14080" max="14080" width="23.42578125" style="112" customWidth="1"/>
    <col min="14081" max="14081" width="7.7109375" style="112" customWidth="1"/>
    <col min="14082" max="14082" width="9.28515625" style="112" customWidth="1"/>
    <col min="14083" max="14084" width="7.28515625" style="112" customWidth="1"/>
    <col min="14085" max="14085" width="9.85546875" style="112" customWidth="1"/>
    <col min="14086" max="14086" width="5.85546875" style="112" customWidth="1"/>
    <col min="14087" max="14087" width="6.28515625" style="112" customWidth="1"/>
    <col min="14088" max="14088" width="8" style="112" customWidth="1"/>
    <col min="14089" max="14089" width="9.5703125" style="112" customWidth="1"/>
    <col min="14090" max="14090" width="11.42578125" style="112" customWidth="1"/>
    <col min="14091" max="14091" width="10.42578125" style="112" customWidth="1"/>
    <col min="14092" max="14092" width="11.85546875" style="112" customWidth="1"/>
    <col min="14093" max="14093" width="12" style="112" customWidth="1"/>
    <col min="14094" max="14095" width="0" style="112" hidden="1" customWidth="1"/>
    <col min="14096" max="14096" width="11.7109375" style="112" customWidth="1"/>
    <col min="14097" max="14334" width="8.85546875" style="112"/>
    <col min="14335" max="14335" width="4.5703125" style="112" customWidth="1"/>
    <col min="14336" max="14336" width="23.42578125" style="112" customWidth="1"/>
    <col min="14337" max="14337" width="7.7109375" style="112" customWidth="1"/>
    <col min="14338" max="14338" width="9.28515625" style="112" customWidth="1"/>
    <col min="14339" max="14340" width="7.28515625" style="112" customWidth="1"/>
    <col min="14341" max="14341" width="9.85546875" style="112" customWidth="1"/>
    <col min="14342" max="14342" width="5.85546875" style="112" customWidth="1"/>
    <col min="14343" max="14343" width="6.28515625" style="112" customWidth="1"/>
    <col min="14344" max="14344" width="8" style="112" customWidth="1"/>
    <col min="14345" max="14345" width="9.5703125" style="112" customWidth="1"/>
    <col min="14346" max="14346" width="11.42578125" style="112" customWidth="1"/>
    <col min="14347" max="14347" width="10.42578125" style="112" customWidth="1"/>
    <col min="14348" max="14348" width="11.85546875" style="112" customWidth="1"/>
    <col min="14349" max="14349" width="12" style="112" customWidth="1"/>
    <col min="14350" max="14351" width="0" style="112" hidden="1" customWidth="1"/>
    <col min="14352" max="14352" width="11.7109375" style="112" customWidth="1"/>
    <col min="14353" max="14590" width="8.85546875" style="112"/>
    <col min="14591" max="14591" width="4.5703125" style="112" customWidth="1"/>
    <col min="14592" max="14592" width="23.42578125" style="112" customWidth="1"/>
    <col min="14593" max="14593" width="7.7109375" style="112" customWidth="1"/>
    <col min="14594" max="14594" width="9.28515625" style="112" customWidth="1"/>
    <col min="14595" max="14596" width="7.28515625" style="112" customWidth="1"/>
    <col min="14597" max="14597" width="9.85546875" style="112" customWidth="1"/>
    <col min="14598" max="14598" width="5.85546875" style="112" customWidth="1"/>
    <col min="14599" max="14599" width="6.28515625" style="112" customWidth="1"/>
    <col min="14600" max="14600" width="8" style="112" customWidth="1"/>
    <col min="14601" max="14601" width="9.5703125" style="112" customWidth="1"/>
    <col min="14602" max="14602" width="11.42578125" style="112" customWidth="1"/>
    <col min="14603" max="14603" width="10.42578125" style="112" customWidth="1"/>
    <col min="14604" max="14604" width="11.85546875" style="112" customWidth="1"/>
    <col min="14605" max="14605" width="12" style="112" customWidth="1"/>
    <col min="14606" max="14607" width="0" style="112" hidden="1" customWidth="1"/>
    <col min="14608" max="14608" width="11.7109375" style="112" customWidth="1"/>
    <col min="14609" max="14846" width="8.85546875" style="112"/>
    <col min="14847" max="14847" width="4.5703125" style="112" customWidth="1"/>
    <col min="14848" max="14848" width="23.42578125" style="112" customWidth="1"/>
    <col min="14849" max="14849" width="7.7109375" style="112" customWidth="1"/>
    <col min="14850" max="14850" width="9.28515625" style="112" customWidth="1"/>
    <col min="14851" max="14852" width="7.28515625" style="112" customWidth="1"/>
    <col min="14853" max="14853" width="9.85546875" style="112" customWidth="1"/>
    <col min="14854" max="14854" width="5.85546875" style="112" customWidth="1"/>
    <col min="14855" max="14855" width="6.28515625" style="112" customWidth="1"/>
    <col min="14856" max="14856" width="8" style="112" customWidth="1"/>
    <col min="14857" max="14857" width="9.5703125" style="112" customWidth="1"/>
    <col min="14858" max="14858" width="11.42578125" style="112" customWidth="1"/>
    <col min="14859" max="14859" width="10.42578125" style="112" customWidth="1"/>
    <col min="14860" max="14860" width="11.85546875" style="112" customWidth="1"/>
    <col min="14861" max="14861" width="12" style="112" customWidth="1"/>
    <col min="14862" max="14863" width="0" style="112" hidden="1" customWidth="1"/>
    <col min="14864" max="14864" width="11.7109375" style="112" customWidth="1"/>
    <col min="14865" max="15102" width="8.85546875" style="112"/>
    <col min="15103" max="15103" width="4.5703125" style="112" customWidth="1"/>
    <col min="15104" max="15104" width="23.42578125" style="112" customWidth="1"/>
    <col min="15105" max="15105" width="7.7109375" style="112" customWidth="1"/>
    <col min="15106" max="15106" width="9.28515625" style="112" customWidth="1"/>
    <col min="15107" max="15108" width="7.28515625" style="112" customWidth="1"/>
    <col min="15109" max="15109" width="9.85546875" style="112" customWidth="1"/>
    <col min="15110" max="15110" width="5.85546875" style="112" customWidth="1"/>
    <col min="15111" max="15111" width="6.28515625" style="112" customWidth="1"/>
    <col min="15112" max="15112" width="8" style="112" customWidth="1"/>
    <col min="15113" max="15113" width="9.5703125" style="112" customWidth="1"/>
    <col min="15114" max="15114" width="11.42578125" style="112" customWidth="1"/>
    <col min="15115" max="15115" width="10.42578125" style="112" customWidth="1"/>
    <col min="15116" max="15116" width="11.85546875" style="112" customWidth="1"/>
    <col min="15117" max="15117" width="12" style="112" customWidth="1"/>
    <col min="15118" max="15119" width="0" style="112" hidden="1" customWidth="1"/>
    <col min="15120" max="15120" width="11.7109375" style="112" customWidth="1"/>
    <col min="15121" max="15358" width="8.85546875" style="112"/>
    <col min="15359" max="15359" width="4.5703125" style="112" customWidth="1"/>
    <col min="15360" max="15360" width="23.42578125" style="112" customWidth="1"/>
    <col min="15361" max="15361" width="7.7109375" style="112" customWidth="1"/>
    <col min="15362" max="15362" width="9.28515625" style="112" customWidth="1"/>
    <col min="15363" max="15364" width="7.28515625" style="112" customWidth="1"/>
    <col min="15365" max="15365" width="9.85546875" style="112" customWidth="1"/>
    <col min="15366" max="15366" width="5.85546875" style="112" customWidth="1"/>
    <col min="15367" max="15367" width="6.28515625" style="112" customWidth="1"/>
    <col min="15368" max="15368" width="8" style="112" customWidth="1"/>
    <col min="15369" max="15369" width="9.5703125" style="112" customWidth="1"/>
    <col min="15370" max="15370" width="11.42578125" style="112" customWidth="1"/>
    <col min="15371" max="15371" width="10.42578125" style="112" customWidth="1"/>
    <col min="15372" max="15372" width="11.85546875" style="112" customWidth="1"/>
    <col min="15373" max="15373" width="12" style="112" customWidth="1"/>
    <col min="15374" max="15375" width="0" style="112" hidden="1" customWidth="1"/>
    <col min="15376" max="15376" width="11.7109375" style="112" customWidth="1"/>
    <col min="15377" max="15614" width="8.85546875" style="112"/>
    <col min="15615" max="15615" width="4.5703125" style="112" customWidth="1"/>
    <col min="15616" max="15616" width="23.42578125" style="112" customWidth="1"/>
    <col min="15617" max="15617" width="7.7109375" style="112" customWidth="1"/>
    <col min="15618" max="15618" width="9.28515625" style="112" customWidth="1"/>
    <col min="15619" max="15620" width="7.28515625" style="112" customWidth="1"/>
    <col min="15621" max="15621" width="9.85546875" style="112" customWidth="1"/>
    <col min="15622" max="15622" width="5.85546875" style="112" customWidth="1"/>
    <col min="15623" max="15623" width="6.28515625" style="112" customWidth="1"/>
    <col min="15624" max="15624" width="8" style="112" customWidth="1"/>
    <col min="15625" max="15625" width="9.5703125" style="112" customWidth="1"/>
    <col min="15626" max="15626" width="11.42578125" style="112" customWidth="1"/>
    <col min="15627" max="15627" width="10.42578125" style="112" customWidth="1"/>
    <col min="15628" max="15628" width="11.85546875" style="112" customWidth="1"/>
    <col min="15629" max="15629" width="12" style="112" customWidth="1"/>
    <col min="15630" max="15631" width="0" style="112" hidden="1" customWidth="1"/>
    <col min="15632" max="15632" width="11.7109375" style="112" customWidth="1"/>
    <col min="15633" max="15870" width="8.85546875" style="112"/>
    <col min="15871" max="15871" width="4.5703125" style="112" customWidth="1"/>
    <col min="15872" max="15872" width="23.42578125" style="112" customWidth="1"/>
    <col min="15873" max="15873" width="7.7109375" style="112" customWidth="1"/>
    <col min="15874" max="15874" width="9.28515625" style="112" customWidth="1"/>
    <col min="15875" max="15876" width="7.28515625" style="112" customWidth="1"/>
    <col min="15877" max="15877" width="9.85546875" style="112" customWidth="1"/>
    <col min="15878" max="15878" width="5.85546875" style="112" customWidth="1"/>
    <col min="15879" max="15879" width="6.28515625" style="112" customWidth="1"/>
    <col min="15880" max="15880" width="8" style="112" customWidth="1"/>
    <col min="15881" max="15881" width="9.5703125" style="112" customWidth="1"/>
    <col min="15882" max="15882" width="11.42578125" style="112" customWidth="1"/>
    <col min="15883" max="15883" width="10.42578125" style="112" customWidth="1"/>
    <col min="15884" max="15884" width="11.85546875" style="112" customWidth="1"/>
    <col min="15885" max="15885" width="12" style="112" customWidth="1"/>
    <col min="15886" max="15887" width="0" style="112" hidden="1" customWidth="1"/>
    <col min="15888" max="15888" width="11.7109375" style="112" customWidth="1"/>
    <col min="15889" max="16126" width="8.85546875" style="112"/>
    <col min="16127" max="16127" width="4.5703125" style="112" customWidth="1"/>
    <col min="16128" max="16128" width="23.42578125" style="112" customWidth="1"/>
    <col min="16129" max="16129" width="7.7109375" style="112" customWidth="1"/>
    <col min="16130" max="16130" width="9.28515625" style="112" customWidth="1"/>
    <col min="16131" max="16132" width="7.28515625" style="112" customWidth="1"/>
    <col min="16133" max="16133" width="9.85546875" style="112" customWidth="1"/>
    <col min="16134" max="16134" width="5.85546875" style="112" customWidth="1"/>
    <col min="16135" max="16135" width="6.28515625" style="112" customWidth="1"/>
    <col min="16136" max="16136" width="8" style="112" customWidth="1"/>
    <col min="16137" max="16137" width="9.5703125" style="112" customWidth="1"/>
    <col min="16138" max="16138" width="11.42578125" style="112" customWidth="1"/>
    <col min="16139" max="16139" width="10.42578125" style="112" customWidth="1"/>
    <col min="16140" max="16140" width="11.85546875" style="112" customWidth="1"/>
    <col min="16141" max="16141" width="12" style="112" customWidth="1"/>
    <col min="16142" max="16143" width="0" style="112" hidden="1" customWidth="1"/>
    <col min="16144" max="16144" width="11.7109375" style="112" customWidth="1"/>
    <col min="16145" max="16384" width="8.85546875" style="112"/>
  </cols>
  <sheetData>
    <row r="1" spans="1:27">
      <c r="AA1" s="63" t="s">
        <v>145</v>
      </c>
    </row>
    <row r="2" spans="1:27" s="88" customFormat="1">
      <c r="B2" s="128"/>
      <c r="Q2" s="129"/>
      <c r="R2" s="63"/>
      <c r="Y2" s="129"/>
      <c r="Z2" s="63"/>
      <c r="AA2" s="64" t="s">
        <v>146</v>
      </c>
    </row>
    <row r="3" spans="1:27" s="88" customFormat="1">
      <c r="B3" s="128"/>
      <c r="Q3" s="129"/>
      <c r="R3" s="64"/>
      <c r="Y3" s="129"/>
      <c r="Z3" s="64"/>
      <c r="AA3" s="63"/>
    </row>
    <row r="4" spans="1:27" s="88" customFormat="1">
      <c r="B4" s="128"/>
      <c r="Q4" s="129"/>
      <c r="R4" s="63"/>
      <c r="Y4" s="129"/>
      <c r="Z4" s="63"/>
      <c r="AA4" s="63" t="s">
        <v>147</v>
      </c>
    </row>
    <row r="5" spans="1:27" s="88" customFormat="1">
      <c r="B5" s="128"/>
      <c r="Q5" s="129"/>
      <c r="R5" s="63"/>
      <c r="Y5" s="129"/>
      <c r="Z5" s="63"/>
      <c r="AA5" s="130" t="s">
        <v>198</v>
      </c>
    </row>
    <row r="6" spans="1:27" s="88" customFormat="1">
      <c r="B6" s="128"/>
      <c r="Q6" s="129"/>
      <c r="R6" s="130"/>
      <c r="Y6" s="129"/>
      <c r="Z6" s="130"/>
    </row>
    <row r="7" spans="1:27" s="88" customFormat="1">
      <c r="A7" s="353" t="s">
        <v>199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</row>
    <row r="8" spans="1:27" s="88" customFormat="1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</row>
    <row r="9" spans="1:27" ht="17.25" customHeight="1">
      <c r="A9" s="370" t="s">
        <v>0</v>
      </c>
      <c r="B9" s="370" t="s">
        <v>149</v>
      </c>
      <c r="C9" s="370" t="s">
        <v>150</v>
      </c>
      <c r="D9" s="370" t="s">
        <v>151</v>
      </c>
      <c r="E9" s="370" t="s">
        <v>152</v>
      </c>
      <c r="F9" s="371" t="s">
        <v>153</v>
      </c>
      <c r="G9" s="360" t="s">
        <v>154</v>
      </c>
      <c r="H9" s="361"/>
      <c r="I9" s="361"/>
      <c r="J9" s="361"/>
      <c r="K9" s="361"/>
      <c r="L9" s="361"/>
      <c r="M9" s="361"/>
      <c r="N9" s="361"/>
      <c r="O9" s="361"/>
      <c r="P9" s="361"/>
      <c r="Q9" s="362"/>
      <c r="R9" s="370" t="s">
        <v>155</v>
      </c>
      <c r="S9" s="370" t="s">
        <v>156</v>
      </c>
      <c r="T9" s="370" t="s">
        <v>157</v>
      </c>
      <c r="U9" s="370" t="s">
        <v>158</v>
      </c>
      <c r="V9" s="370" t="s">
        <v>159</v>
      </c>
      <c r="W9" s="372" t="s">
        <v>208</v>
      </c>
      <c r="X9" s="373"/>
      <c r="Y9" s="354" t="s">
        <v>160</v>
      </c>
      <c r="Z9" s="354" t="s">
        <v>161</v>
      </c>
      <c r="AA9" s="354" t="s">
        <v>162</v>
      </c>
    </row>
    <row r="10" spans="1:27" ht="113.45" customHeight="1">
      <c r="A10" s="370"/>
      <c r="B10" s="370"/>
      <c r="C10" s="370"/>
      <c r="D10" s="370"/>
      <c r="E10" s="370"/>
      <c r="F10" s="371"/>
      <c r="G10" s="370" t="s">
        <v>163</v>
      </c>
      <c r="H10" s="370"/>
      <c r="I10" s="91" t="s">
        <v>164</v>
      </c>
      <c r="J10" s="370" t="s">
        <v>165</v>
      </c>
      <c r="K10" s="370"/>
      <c r="L10" s="366" t="s">
        <v>185</v>
      </c>
      <c r="M10" s="367"/>
      <c r="N10" s="370" t="s">
        <v>251</v>
      </c>
      <c r="O10" s="370"/>
      <c r="P10" s="368" t="s">
        <v>168</v>
      </c>
      <c r="Q10" s="369"/>
      <c r="R10" s="370"/>
      <c r="S10" s="370"/>
      <c r="T10" s="370"/>
      <c r="U10" s="370"/>
      <c r="V10" s="370"/>
      <c r="W10" s="374"/>
      <c r="X10" s="375"/>
      <c r="Y10" s="356"/>
      <c r="Z10" s="356"/>
      <c r="AA10" s="356"/>
    </row>
    <row r="11" spans="1:27" ht="20.45" customHeight="1">
      <c r="A11" s="370"/>
      <c r="B11" s="370"/>
      <c r="C11" s="370"/>
      <c r="D11" s="370"/>
      <c r="E11" s="370"/>
      <c r="F11" s="371"/>
      <c r="G11" s="94" t="s">
        <v>169</v>
      </c>
      <c r="H11" s="94" t="s">
        <v>170</v>
      </c>
      <c r="I11" s="94" t="s">
        <v>170</v>
      </c>
      <c r="J11" s="94" t="s">
        <v>169</v>
      </c>
      <c r="K11" s="94" t="s">
        <v>170</v>
      </c>
      <c r="L11" s="94" t="s">
        <v>169</v>
      </c>
      <c r="M11" s="94" t="s">
        <v>170</v>
      </c>
      <c r="N11" s="94" t="s">
        <v>169</v>
      </c>
      <c r="O11" s="94" t="s">
        <v>170</v>
      </c>
      <c r="P11" s="94" t="s">
        <v>169</v>
      </c>
      <c r="Q11" s="94" t="s">
        <v>170</v>
      </c>
      <c r="R11" s="94" t="s">
        <v>170</v>
      </c>
      <c r="S11" s="94" t="s">
        <v>170</v>
      </c>
      <c r="T11" s="94" t="s">
        <v>170</v>
      </c>
      <c r="U11" s="94" t="s">
        <v>170</v>
      </c>
      <c r="V11" s="94" t="s">
        <v>170</v>
      </c>
      <c r="W11" s="94" t="s">
        <v>227</v>
      </c>
      <c r="X11" s="94" t="s">
        <v>170</v>
      </c>
      <c r="Y11" s="94" t="s">
        <v>170</v>
      </c>
      <c r="Z11" s="94" t="s">
        <v>170</v>
      </c>
      <c r="AA11" s="94" t="s">
        <v>170</v>
      </c>
    </row>
    <row r="12" spans="1:27" ht="17.25" customHeight="1">
      <c r="A12" s="94">
        <v>1</v>
      </c>
      <c r="B12" s="94">
        <v>2</v>
      </c>
      <c r="C12" s="94">
        <v>3</v>
      </c>
      <c r="D12" s="94">
        <v>4</v>
      </c>
      <c r="E12" s="94">
        <v>5</v>
      </c>
      <c r="F12" s="94">
        <v>6</v>
      </c>
      <c r="G12" s="94">
        <v>7</v>
      </c>
      <c r="H12" s="94">
        <v>8</v>
      </c>
      <c r="I12" s="94">
        <v>9</v>
      </c>
      <c r="J12" s="94">
        <v>10</v>
      </c>
      <c r="K12" s="94">
        <v>11</v>
      </c>
      <c r="L12" s="94">
        <v>12</v>
      </c>
      <c r="M12" s="94">
        <v>13</v>
      </c>
      <c r="N12" s="94">
        <v>9</v>
      </c>
      <c r="O12" s="94">
        <v>10</v>
      </c>
      <c r="P12" s="94">
        <v>11</v>
      </c>
      <c r="Q12" s="94">
        <v>12</v>
      </c>
      <c r="R12" s="94">
        <v>13</v>
      </c>
      <c r="S12" s="94">
        <v>14</v>
      </c>
      <c r="T12" s="94">
        <v>15</v>
      </c>
      <c r="U12" s="94">
        <v>16</v>
      </c>
      <c r="V12" s="94">
        <v>17</v>
      </c>
      <c r="W12" s="94">
        <v>18</v>
      </c>
      <c r="X12" s="94">
        <v>19</v>
      </c>
      <c r="Y12" s="94">
        <v>20</v>
      </c>
      <c r="Z12" s="94">
        <v>21</v>
      </c>
      <c r="AA12" s="94">
        <v>22</v>
      </c>
    </row>
    <row r="13" spans="1:27">
      <c r="A13" s="363" t="s">
        <v>206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5"/>
    </row>
    <row r="14" spans="1:27">
      <c r="A14" s="96">
        <v>1</v>
      </c>
      <c r="B14" s="8" t="s">
        <v>248</v>
      </c>
      <c r="C14" s="134">
        <v>1</v>
      </c>
      <c r="D14" s="105"/>
      <c r="E14" s="135"/>
      <c r="F14" s="105">
        <v>30000</v>
      </c>
      <c r="G14" s="100"/>
      <c r="H14" s="105"/>
      <c r="I14" s="98"/>
      <c r="J14" s="98"/>
      <c r="K14" s="98"/>
      <c r="L14" s="98"/>
      <c r="M14" s="98"/>
      <c r="N14" s="100"/>
      <c r="O14" s="105"/>
      <c r="P14" s="98"/>
      <c r="Q14" s="98"/>
      <c r="R14" s="105">
        <f>+F14+H14+I14++K14+O14+Q14</f>
        <v>30000</v>
      </c>
      <c r="S14" s="105">
        <f t="shared" ref="S14:S17" si="0">R14*C14</f>
        <v>30000</v>
      </c>
      <c r="T14" s="98">
        <f>+S14</f>
        <v>30000</v>
      </c>
      <c r="U14" s="105">
        <f t="shared" ref="U14:U15" si="1">S14*2</f>
        <v>60000</v>
      </c>
      <c r="V14" s="98">
        <f>+S14</f>
        <v>30000</v>
      </c>
      <c r="W14" s="98"/>
      <c r="X14" s="98"/>
      <c r="Y14" s="105">
        <f>(S14*8)+T14+U14+V14</f>
        <v>360000</v>
      </c>
      <c r="Z14" s="105">
        <f>((S14*8)+T14+V14)*0.1725</f>
        <v>51749.999999999993</v>
      </c>
      <c r="AA14" s="105">
        <f t="shared" ref="AA14:AA17" si="2">Y14+Z14</f>
        <v>411750</v>
      </c>
    </row>
    <row r="15" spans="1:27">
      <c r="A15" s="96">
        <v>2</v>
      </c>
      <c r="B15" s="8" t="s">
        <v>250</v>
      </c>
      <c r="C15" s="134">
        <v>4</v>
      </c>
      <c r="D15" s="105"/>
      <c r="E15" s="135"/>
      <c r="F15" s="105">
        <v>70000</v>
      </c>
      <c r="G15" s="100"/>
      <c r="H15" s="105"/>
      <c r="I15" s="98"/>
      <c r="J15" s="98"/>
      <c r="K15" s="98"/>
      <c r="L15" s="98"/>
      <c r="M15" s="98"/>
      <c r="N15" s="100"/>
      <c r="O15" s="105"/>
      <c r="P15" s="100"/>
      <c r="Q15" s="105">
        <f>F15*P15</f>
        <v>0</v>
      </c>
      <c r="R15" s="105">
        <f t="shared" ref="R15:R17" si="3">+F15+H15+I15++K15+O15+Q15</f>
        <v>70000</v>
      </c>
      <c r="S15" s="105">
        <f t="shared" si="0"/>
        <v>280000</v>
      </c>
      <c r="T15" s="98">
        <f>+S15</f>
        <v>280000</v>
      </c>
      <c r="U15" s="105">
        <f t="shared" si="1"/>
        <v>560000</v>
      </c>
      <c r="V15" s="98"/>
      <c r="W15" s="98"/>
      <c r="X15" s="98"/>
      <c r="Y15" s="105">
        <f t="shared" ref="Y15:Y17" si="4">(S15*8)+T15+U15+V15</f>
        <v>3080000</v>
      </c>
      <c r="Z15" s="105">
        <f t="shared" ref="Z15:Z17" si="5">((S15*8)+T15+V15)*0.1725</f>
        <v>434699.99999999994</v>
      </c>
      <c r="AA15" s="105">
        <f t="shared" si="2"/>
        <v>3514700</v>
      </c>
    </row>
    <row r="16" spans="1:27">
      <c r="A16" s="96">
        <v>3</v>
      </c>
      <c r="B16" s="8" t="s">
        <v>249</v>
      </c>
      <c r="C16" s="134">
        <v>3</v>
      </c>
      <c r="D16" s="105">
        <v>7040</v>
      </c>
      <c r="E16" s="135">
        <v>1.2</v>
      </c>
      <c r="F16" s="105">
        <f t="shared" ref="F16:F17" si="6">+D16*E16</f>
        <v>8448</v>
      </c>
      <c r="G16" s="100"/>
      <c r="H16" s="105"/>
      <c r="I16" s="98"/>
      <c r="J16" s="98"/>
      <c r="K16" s="98"/>
      <c r="L16" s="98"/>
      <c r="M16" s="98"/>
      <c r="N16" s="100"/>
      <c r="O16" s="105">
        <v>9220</v>
      </c>
      <c r="P16" s="100"/>
      <c r="Q16" s="105">
        <f t="shared" ref="Q16:Q17" si="7">F16*P16</f>
        <v>0</v>
      </c>
      <c r="R16" s="105">
        <f t="shared" si="3"/>
        <v>17668</v>
      </c>
      <c r="S16" s="105">
        <f t="shared" si="0"/>
        <v>53004</v>
      </c>
      <c r="T16" s="98">
        <f>+S16</f>
        <v>53004</v>
      </c>
      <c r="U16" s="105">
        <f t="shared" ref="U16:U17" si="8">S16*2</f>
        <v>106008</v>
      </c>
      <c r="V16" s="98">
        <f>+S16</f>
        <v>53004</v>
      </c>
      <c r="W16" s="98"/>
      <c r="X16" s="98"/>
      <c r="Y16" s="105">
        <f t="shared" si="4"/>
        <v>636048</v>
      </c>
      <c r="Z16" s="105">
        <f t="shared" si="5"/>
        <v>91431.9</v>
      </c>
      <c r="AA16" s="105">
        <f t="shared" si="2"/>
        <v>727479.9</v>
      </c>
    </row>
    <row r="17" spans="1:27">
      <c r="A17" s="96">
        <v>4</v>
      </c>
      <c r="B17" s="8" t="s">
        <v>250</v>
      </c>
      <c r="C17" s="134">
        <v>2</v>
      </c>
      <c r="D17" s="105">
        <v>7040</v>
      </c>
      <c r="E17" s="135">
        <v>1.7</v>
      </c>
      <c r="F17" s="105">
        <f t="shared" si="6"/>
        <v>11968</v>
      </c>
      <c r="G17" s="100"/>
      <c r="H17" s="105"/>
      <c r="I17" s="98"/>
      <c r="J17" s="98"/>
      <c r="K17" s="98"/>
      <c r="L17" s="98"/>
      <c r="M17" s="98"/>
      <c r="N17" s="100"/>
      <c r="O17" s="105">
        <v>16900</v>
      </c>
      <c r="P17" s="100"/>
      <c r="Q17" s="105">
        <f t="shared" si="7"/>
        <v>0</v>
      </c>
      <c r="R17" s="105">
        <f t="shared" si="3"/>
        <v>28868</v>
      </c>
      <c r="S17" s="105">
        <f t="shared" si="0"/>
        <v>57736</v>
      </c>
      <c r="T17" s="98">
        <f>+S17</f>
        <v>57736</v>
      </c>
      <c r="U17" s="105">
        <f t="shared" si="8"/>
        <v>115472</v>
      </c>
      <c r="V17" s="98">
        <f>+S17</f>
        <v>57736</v>
      </c>
      <c r="W17" s="98"/>
      <c r="X17" s="98"/>
      <c r="Y17" s="105">
        <f t="shared" si="4"/>
        <v>692832</v>
      </c>
      <c r="Z17" s="105">
        <f t="shared" si="5"/>
        <v>99594.599999999991</v>
      </c>
      <c r="AA17" s="105">
        <f t="shared" si="2"/>
        <v>792426.6</v>
      </c>
    </row>
    <row r="18" spans="1:27">
      <c r="A18" s="94"/>
      <c r="B18" s="94" t="s">
        <v>196</v>
      </c>
      <c r="C18" s="133">
        <f>SUM(C14:C17)</f>
        <v>10</v>
      </c>
      <c r="D18" s="136">
        <f>SUM(D14:D17)</f>
        <v>14080</v>
      </c>
      <c r="E18" s="137"/>
      <c r="F18" s="136">
        <f>SUM(F14:F17)</f>
        <v>120416</v>
      </c>
      <c r="G18" s="137"/>
      <c r="H18" s="136">
        <f t="shared" ref="H18:M18" si="9">SUM(H14:H17)</f>
        <v>0</v>
      </c>
      <c r="I18" s="137">
        <f t="shared" si="9"/>
        <v>0</v>
      </c>
      <c r="J18" s="137">
        <f t="shared" si="9"/>
        <v>0</v>
      </c>
      <c r="K18" s="137">
        <f t="shared" si="9"/>
        <v>0</v>
      </c>
      <c r="L18" s="137">
        <f t="shared" si="9"/>
        <v>0</v>
      </c>
      <c r="M18" s="137">
        <f t="shared" si="9"/>
        <v>0</v>
      </c>
      <c r="N18" s="137"/>
      <c r="O18" s="136">
        <f>SUM(O14:O17)</f>
        <v>26120</v>
      </c>
      <c r="P18" s="137"/>
      <c r="Q18" s="136">
        <f t="shared" ref="Q18:V18" si="10">SUM(Q14:Q17)</f>
        <v>0</v>
      </c>
      <c r="R18" s="136">
        <f t="shared" si="10"/>
        <v>146536</v>
      </c>
      <c r="S18" s="136">
        <f t="shared" si="10"/>
        <v>420740</v>
      </c>
      <c r="T18" s="136">
        <f t="shared" si="10"/>
        <v>420740</v>
      </c>
      <c r="U18" s="136">
        <f t="shared" si="10"/>
        <v>841480</v>
      </c>
      <c r="V18" s="136">
        <f t="shared" si="10"/>
        <v>140740</v>
      </c>
      <c r="W18" s="136">
        <f t="shared" ref="W18:X18" si="11">SUM(W14:W17)</f>
        <v>0</v>
      </c>
      <c r="X18" s="136">
        <f t="shared" si="11"/>
        <v>0</v>
      </c>
      <c r="Y18" s="136">
        <f>SUM(Y14:Y17)</f>
        <v>4768880</v>
      </c>
      <c r="Z18" s="136">
        <f>SUM(Z14:Z17)</f>
        <v>677476.49999999988</v>
      </c>
      <c r="AA18" s="136">
        <f>SUM(AA14:AA17)</f>
        <v>5446356.5</v>
      </c>
    </row>
    <row r="19" spans="1:27">
      <c r="A19" s="363" t="s">
        <v>210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5"/>
    </row>
    <row r="20" spans="1:27">
      <c r="A20" s="96">
        <v>1</v>
      </c>
      <c r="B20" s="8" t="s">
        <v>248</v>
      </c>
      <c r="C20" s="134">
        <v>1</v>
      </c>
      <c r="D20" s="105">
        <v>7040</v>
      </c>
      <c r="E20" s="135">
        <v>2.29</v>
      </c>
      <c r="F20" s="105">
        <f>+D20*E20</f>
        <v>16121.6</v>
      </c>
      <c r="G20" s="100"/>
      <c r="H20" s="105"/>
      <c r="I20" s="98"/>
      <c r="J20" s="98"/>
      <c r="K20" s="98"/>
      <c r="L20" s="98"/>
      <c r="M20" s="98"/>
      <c r="N20" s="100"/>
      <c r="O20" s="105">
        <v>8878</v>
      </c>
      <c r="P20" s="98"/>
      <c r="Q20" s="98"/>
      <c r="R20" s="105">
        <f>+F20+H20+I20++K20+O20+Q20</f>
        <v>24999.599999999999</v>
      </c>
      <c r="S20" s="105">
        <f t="shared" ref="S20:S23" si="12">R20*C20</f>
        <v>24999.599999999999</v>
      </c>
      <c r="T20" s="98">
        <f t="shared" ref="T20:T23" si="13">(((S20+(S20*14.0135/12/12)))*3/3/29.6)*28</f>
        <v>25949.624682995491</v>
      </c>
      <c r="U20" s="105">
        <f t="shared" ref="U20:U23" si="14">S20*2</f>
        <v>49999.199999999997</v>
      </c>
      <c r="V20" s="98">
        <f t="shared" ref="V20:V23" si="15">(S20*14.0135)/12</f>
        <v>29194.324550000001</v>
      </c>
      <c r="W20" s="98">
        <v>5000</v>
      </c>
      <c r="X20" s="98">
        <f>+W20*9*C20</f>
        <v>45000</v>
      </c>
      <c r="Y20" s="105">
        <f>(S20*8)+T20+U20+V20+X20</f>
        <v>350139.94923299551</v>
      </c>
      <c r="Z20" s="105">
        <f>((S20*8)+T20+V20)*0.1725</f>
        <v>44011.779242691715</v>
      </c>
      <c r="AA20" s="105">
        <f t="shared" ref="AA20:AA23" si="16">Y20+Z20</f>
        <v>394151.72847568721</v>
      </c>
    </row>
    <row r="21" spans="1:27">
      <c r="A21" s="96">
        <v>2</v>
      </c>
      <c r="B21" s="8" t="s">
        <v>250</v>
      </c>
      <c r="C21" s="134">
        <v>4</v>
      </c>
      <c r="D21" s="105">
        <v>7040</v>
      </c>
      <c r="E21" s="135">
        <v>1.7</v>
      </c>
      <c r="F21" s="105">
        <f t="shared" ref="F21:F23" si="17">+D21*E21</f>
        <v>11968</v>
      </c>
      <c r="G21" s="100"/>
      <c r="H21" s="105"/>
      <c r="I21" s="98"/>
      <c r="J21" s="98"/>
      <c r="K21" s="98"/>
      <c r="L21" s="98"/>
      <c r="M21" s="98"/>
      <c r="N21" s="100"/>
      <c r="O21" s="105">
        <v>53032</v>
      </c>
      <c r="P21" s="100"/>
      <c r="Q21" s="105">
        <f>F21*P21</f>
        <v>0</v>
      </c>
      <c r="R21" s="105">
        <f t="shared" ref="R21:R23" si="18">+F21+H21+I21++K21+O21+Q21</f>
        <v>65000</v>
      </c>
      <c r="S21" s="105">
        <f t="shared" si="12"/>
        <v>260000</v>
      </c>
      <c r="T21" s="98">
        <f t="shared" si="13"/>
        <v>269880.41478978976</v>
      </c>
      <c r="U21" s="105">
        <f t="shared" si="14"/>
        <v>520000</v>
      </c>
      <c r="V21" s="98"/>
      <c r="W21" s="98">
        <v>5000</v>
      </c>
      <c r="X21" s="98">
        <f t="shared" ref="X21:X23" si="19">+W21*9*C21</f>
        <v>180000</v>
      </c>
      <c r="Y21" s="105">
        <f t="shared" ref="Y21:Y23" si="20">(S21*8)+T21+U21+V21+X21</f>
        <v>3049880.4147897898</v>
      </c>
      <c r="Z21" s="105">
        <f t="shared" ref="Z21:Z23" si="21">((S21*8)+T21+V21)*0.1725</f>
        <v>405354.3715512387</v>
      </c>
      <c r="AA21" s="105">
        <f t="shared" si="16"/>
        <v>3455234.7863410283</v>
      </c>
    </row>
    <row r="22" spans="1:27">
      <c r="A22" s="96">
        <v>3</v>
      </c>
      <c r="B22" s="8" t="s">
        <v>249</v>
      </c>
      <c r="C22" s="134">
        <v>3</v>
      </c>
      <c r="D22" s="105">
        <v>7040</v>
      </c>
      <c r="E22" s="135">
        <v>1.2</v>
      </c>
      <c r="F22" s="105">
        <f t="shared" si="17"/>
        <v>8448</v>
      </c>
      <c r="G22" s="100"/>
      <c r="H22" s="105"/>
      <c r="I22" s="98"/>
      <c r="J22" s="98"/>
      <c r="K22" s="98"/>
      <c r="L22" s="98"/>
      <c r="M22" s="98"/>
      <c r="N22" s="100"/>
      <c r="O22" s="105">
        <v>4220</v>
      </c>
      <c r="P22" s="100"/>
      <c r="Q22" s="105">
        <f t="shared" ref="Q22:Q23" si="22">F22*P22</f>
        <v>0</v>
      </c>
      <c r="R22" s="105">
        <f t="shared" si="18"/>
        <v>12668</v>
      </c>
      <c r="S22" s="105">
        <f t="shared" si="12"/>
        <v>38004</v>
      </c>
      <c r="T22" s="98">
        <f t="shared" si="13"/>
        <v>39448.212629504502</v>
      </c>
      <c r="U22" s="105">
        <f t="shared" si="14"/>
        <v>76008</v>
      </c>
      <c r="V22" s="98">
        <f t="shared" si="15"/>
        <v>44380.754500000003</v>
      </c>
      <c r="W22" s="98">
        <v>5000</v>
      </c>
      <c r="X22" s="98">
        <f t="shared" si="19"/>
        <v>135000</v>
      </c>
      <c r="Y22" s="105">
        <f t="shared" si="20"/>
        <v>598868.96712950454</v>
      </c>
      <c r="Z22" s="105">
        <f t="shared" si="21"/>
        <v>66906.016829839515</v>
      </c>
      <c r="AA22" s="105">
        <f t="shared" si="16"/>
        <v>665774.9839593441</v>
      </c>
    </row>
    <row r="23" spans="1:27">
      <c r="A23" s="96">
        <v>4</v>
      </c>
      <c r="B23" s="8" t="s">
        <v>250</v>
      </c>
      <c r="C23" s="134">
        <v>2</v>
      </c>
      <c r="D23" s="105">
        <v>7040</v>
      </c>
      <c r="E23" s="135">
        <v>1.7</v>
      </c>
      <c r="F23" s="105">
        <f t="shared" si="17"/>
        <v>11968</v>
      </c>
      <c r="G23" s="100"/>
      <c r="H23" s="105"/>
      <c r="I23" s="98"/>
      <c r="J23" s="98"/>
      <c r="K23" s="98"/>
      <c r="L23" s="98"/>
      <c r="M23" s="98"/>
      <c r="N23" s="100"/>
      <c r="O23" s="105">
        <v>11900</v>
      </c>
      <c r="P23" s="100"/>
      <c r="Q23" s="105">
        <f t="shared" si="22"/>
        <v>0</v>
      </c>
      <c r="R23" s="105">
        <f t="shared" si="18"/>
        <v>23868</v>
      </c>
      <c r="S23" s="105">
        <f t="shared" si="12"/>
        <v>47736</v>
      </c>
      <c r="T23" s="98">
        <f t="shared" si="13"/>
        <v>49550.044155405398</v>
      </c>
      <c r="U23" s="105">
        <f t="shared" si="14"/>
        <v>95472</v>
      </c>
      <c r="V23" s="98">
        <f t="shared" si="15"/>
        <v>55745.703000000001</v>
      </c>
      <c r="W23" s="98">
        <v>5000</v>
      </c>
      <c r="X23" s="98">
        <f t="shared" si="19"/>
        <v>90000</v>
      </c>
      <c r="Y23" s="105">
        <f t="shared" si="20"/>
        <v>672655.74715540535</v>
      </c>
      <c r="Z23" s="105">
        <f t="shared" si="21"/>
        <v>84039.196384307419</v>
      </c>
      <c r="AA23" s="105">
        <f t="shared" si="16"/>
        <v>756694.94353971281</v>
      </c>
    </row>
    <row r="24" spans="1:27">
      <c r="A24" s="94"/>
      <c r="B24" s="94" t="s">
        <v>196</v>
      </c>
      <c r="C24" s="133">
        <f>SUM(C20:C23)</f>
        <v>10</v>
      </c>
      <c r="D24" s="136">
        <f>SUM(D20:D23)</f>
        <v>28160</v>
      </c>
      <c r="E24" s="137"/>
      <c r="F24" s="136">
        <f>SUM(F20:F23)</f>
        <v>48505.599999999999</v>
      </c>
      <c r="G24" s="137"/>
      <c r="H24" s="136">
        <f t="shared" ref="H24:M24" si="23">SUM(H20:H23)</f>
        <v>0</v>
      </c>
      <c r="I24" s="137">
        <f t="shared" si="23"/>
        <v>0</v>
      </c>
      <c r="J24" s="137">
        <f t="shared" si="23"/>
        <v>0</v>
      </c>
      <c r="K24" s="137">
        <f t="shared" si="23"/>
        <v>0</v>
      </c>
      <c r="L24" s="137">
        <f t="shared" si="23"/>
        <v>0</v>
      </c>
      <c r="M24" s="137">
        <f t="shared" si="23"/>
        <v>0</v>
      </c>
      <c r="N24" s="137"/>
      <c r="O24" s="136">
        <f>SUM(O20:O23)</f>
        <v>78030</v>
      </c>
      <c r="P24" s="137"/>
      <c r="Q24" s="136">
        <f t="shared" ref="Q24:V24" si="24">SUM(Q20:Q23)</f>
        <v>0</v>
      </c>
      <c r="R24" s="136">
        <f t="shared" si="24"/>
        <v>126535.6</v>
      </c>
      <c r="S24" s="136">
        <f t="shared" si="24"/>
        <v>370739.6</v>
      </c>
      <c r="T24" s="136">
        <f t="shared" si="24"/>
        <v>384828.29625769518</v>
      </c>
      <c r="U24" s="136">
        <f t="shared" si="24"/>
        <v>741479.2</v>
      </c>
      <c r="V24" s="136">
        <f t="shared" si="24"/>
        <v>129320.78205000001</v>
      </c>
      <c r="W24" s="136">
        <f t="shared" ref="W24:X24" si="25">SUM(W20:W23)</f>
        <v>20000</v>
      </c>
      <c r="X24" s="136">
        <f t="shared" si="25"/>
        <v>450000</v>
      </c>
      <c r="Y24" s="136">
        <f>SUM(Y20:Y23)</f>
        <v>4671545.0783076957</v>
      </c>
      <c r="Z24" s="136">
        <f>SUM(Z20:Z23)</f>
        <v>600311.3640080773</v>
      </c>
      <c r="AA24" s="136">
        <f>SUM(AA20:AA23)</f>
        <v>5271856.4423157722</v>
      </c>
    </row>
    <row r="25" spans="1:27">
      <c r="A25" s="194"/>
      <c r="B25" s="195" t="s">
        <v>253</v>
      </c>
      <c r="C25" s="196"/>
      <c r="D25" s="197"/>
      <c r="E25" s="198"/>
      <c r="F25" s="197"/>
      <c r="G25" s="198"/>
      <c r="H25" s="197"/>
      <c r="I25" s="198"/>
      <c r="J25" s="198"/>
      <c r="K25" s="198"/>
      <c r="L25" s="198"/>
      <c r="M25" s="198"/>
      <c r="N25" s="198"/>
      <c r="O25" s="197"/>
      <c r="P25" s="198"/>
      <c r="Q25" s="197"/>
      <c r="R25" s="197"/>
      <c r="S25" s="197"/>
      <c r="T25" s="197"/>
      <c r="U25" s="197"/>
      <c r="V25" s="197"/>
      <c r="W25" s="197"/>
      <c r="X25" s="197"/>
      <c r="Y25" s="197">
        <f>+Y24-Y18</f>
        <v>-97334.921692304313</v>
      </c>
      <c r="Z25" s="197">
        <f t="shared" ref="Z25:AA25" si="26">+Z24-Z18</f>
        <v>-77165.13599192258</v>
      </c>
      <c r="AA25" s="197">
        <f t="shared" si="26"/>
        <v>-174500.05768422782</v>
      </c>
    </row>
    <row r="26" spans="1:27">
      <c r="B26" s="44"/>
      <c r="Q26" s="138"/>
      <c r="R26" s="138"/>
      <c r="S26" s="138"/>
      <c r="Y26" s="139"/>
      <c r="Z26" s="139"/>
    </row>
    <row r="27" spans="1:27">
      <c r="Q27" s="138"/>
      <c r="R27" s="138"/>
      <c r="S27" s="138"/>
      <c r="Y27" s="139"/>
      <c r="Z27" s="139"/>
    </row>
    <row r="28" spans="1:27">
      <c r="Q28" s="138"/>
      <c r="R28" s="138"/>
      <c r="S28" s="138"/>
    </row>
    <row r="29" spans="1:27">
      <c r="Q29" s="138"/>
      <c r="R29" s="138"/>
      <c r="S29" s="138"/>
    </row>
  </sheetData>
  <mergeCells count="25">
    <mergeCell ref="A13:AA13"/>
    <mergeCell ref="A19:AA19"/>
    <mergeCell ref="AA9:AA10"/>
    <mergeCell ref="G10:H10"/>
    <mergeCell ref="J10:K10"/>
    <mergeCell ref="L10:M10"/>
    <mergeCell ref="N10:O10"/>
    <mergeCell ref="P10:Q10"/>
    <mergeCell ref="W9:X10"/>
    <mergeCell ref="S9:S10"/>
    <mergeCell ref="T9:T10"/>
    <mergeCell ref="U9:U10"/>
    <mergeCell ref="V9:V10"/>
    <mergeCell ref="Y9:Y10"/>
    <mergeCell ref="Z9:Z10"/>
    <mergeCell ref="A7:AA7"/>
    <mergeCell ref="A8:R8"/>
    <mergeCell ref="A9:A11"/>
    <mergeCell ref="B9:B11"/>
    <mergeCell ref="C9:C11"/>
    <mergeCell ref="D9:D11"/>
    <mergeCell ref="E9:E11"/>
    <mergeCell ref="F9:F11"/>
    <mergeCell ref="G9:Q9"/>
    <mergeCell ref="R9:R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76C7-1A98-4F13-810A-45CEE79784F7}">
  <sheetPr>
    <tabColor rgb="FF92D050"/>
  </sheetPr>
  <dimension ref="A1:AB51"/>
  <sheetViews>
    <sheetView topLeftCell="A24" workbookViewId="0">
      <selection activeCell="P48" sqref="P48"/>
    </sheetView>
  </sheetViews>
  <sheetFormatPr defaultColWidth="9.140625" defaultRowHeight="12.75"/>
  <cols>
    <col min="1" max="1" width="4.140625" style="112" customWidth="1"/>
    <col min="2" max="2" width="31" style="112" customWidth="1"/>
    <col min="3" max="3" width="4.85546875" style="112" customWidth="1"/>
    <col min="4" max="4" width="7.28515625" style="112" customWidth="1"/>
    <col min="5" max="5" width="5.5703125" style="112" customWidth="1"/>
    <col min="6" max="6" width="9.140625" style="112"/>
    <col min="7" max="7" width="6.140625" style="112" customWidth="1"/>
    <col min="8" max="8" width="7.28515625" style="112" customWidth="1"/>
    <col min="9" max="9" width="6.28515625" style="112" hidden="1" customWidth="1"/>
    <col min="10" max="11" width="6.85546875" style="112" hidden="1" customWidth="1"/>
    <col min="12" max="12" width="8.140625" style="112" hidden="1" customWidth="1"/>
    <col min="13" max="13" width="7.7109375" style="112" hidden="1" customWidth="1"/>
    <col min="14" max="14" width="7.42578125" style="112" customWidth="1"/>
    <col min="15" max="15" width="6.140625" style="112" customWidth="1"/>
    <col min="16" max="16" width="7.42578125" style="112" customWidth="1"/>
    <col min="17" max="17" width="4.5703125" style="112" bestFit="1" customWidth="1"/>
    <col min="18" max="18" width="6.42578125" style="112" customWidth="1"/>
    <col min="19" max="19" width="9.140625" style="112" customWidth="1"/>
    <col min="20" max="20" width="8.7109375" style="112" customWidth="1"/>
    <col min="21" max="21" width="9.28515625" style="112" customWidth="1"/>
    <col min="22" max="22" width="10.7109375" style="112" customWidth="1"/>
    <col min="23" max="25" width="9" style="112" customWidth="1"/>
    <col min="26" max="26" width="9.85546875" style="112" bestFit="1" customWidth="1"/>
    <col min="27" max="27" width="10.5703125" style="112" bestFit="1" customWidth="1"/>
    <col min="28" max="28" width="11.7109375" style="112" customWidth="1"/>
    <col min="29" max="16384" width="9.140625" style="112"/>
  </cols>
  <sheetData>
    <row r="1" spans="1:28" s="88" customFormat="1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W1" s="63"/>
      <c r="X1" s="63"/>
      <c r="Y1" s="63"/>
      <c r="AB1" s="63" t="s">
        <v>145</v>
      </c>
    </row>
    <row r="2" spans="1:28" s="88" customForma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W2" s="64"/>
      <c r="X2" s="64"/>
      <c r="Y2" s="64"/>
      <c r="AB2" s="64" t="s">
        <v>146</v>
      </c>
    </row>
    <row r="3" spans="1:28" s="88" customForma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W3" s="63"/>
      <c r="X3" s="63"/>
      <c r="Y3" s="63"/>
      <c r="AB3" s="63"/>
    </row>
    <row r="4" spans="1:28" s="88" customForma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W4" s="63"/>
      <c r="X4" s="63"/>
      <c r="Y4" s="63"/>
      <c r="AB4" s="63" t="s">
        <v>147</v>
      </c>
    </row>
    <row r="5" spans="1:28" s="88" customForma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W5" s="90"/>
      <c r="X5" s="90"/>
      <c r="Y5" s="90"/>
      <c r="AB5" s="90" t="s">
        <v>230</v>
      </c>
    </row>
    <row r="6" spans="1:28" s="88" customForma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W6" s="90"/>
      <c r="X6" s="90"/>
      <c r="Y6" s="90"/>
    </row>
    <row r="7" spans="1:28" s="88" customFormat="1">
      <c r="A7" s="353" t="s">
        <v>231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</row>
    <row r="9" spans="1:28" ht="15.75" customHeight="1">
      <c r="A9" s="370" t="s">
        <v>0</v>
      </c>
      <c r="B9" s="370" t="s">
        <v>149</v>
      </c>
      <c r="C9" s="370" t="s">
        <v>150</v>
      </c>
      <c r="D9" s="370" t="s">
        <v>151</v>
      </c>
      <c r="E9" s="370" t="s">
        <v>152</v>
      </c>
      <c r="F9" s="371" t="s">
        <v>153</v>
      </c>
      <c r="G9" s="360" t="s">
        <v>154</v>
      </c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2"/>
      <c r="S9" s="370" t="s">
        <v>155</v>
      </c>
      <c r="T9" s="370" t="s">
        <v>232</v>
      </c>
      <c r="U9" s="370" t="s">
        <v>157</v>
      </c>
      <c r="V9" s="370" t="s">
        <v>158</v>
      </c>
      <c r="W9" s="370" t="s">
        <v>159</v>
      </c>
      <c r="X9" s="372" t="s">
        <v>208</v>
      </c>
      <c r="Y9" s="373"/>
      <c r="Z9" s="354" t="s">
        <v>160</v>
      </c>
      <c r="AA9" s="354" t="s">
        <v>161</v>
      </c>
      <c r="AB9" s="354" t="s">
        <v>162</v>
      </c>
    </row>
    <row r="10" spans="1:28" ht="96" customHeight="1">
      <c r="A10" s="370"/>
      <c r="B10" s="370"/>
      <c r="C10" s="370"/>
      <c r="D10" s="370"/>
      <c r="E10" s="370"/>
      <c r="F10" s="371"/>
      <c r="G10" s="370" t="s">
        <v>163</v>
      </c>
      <c r="H10" s="370"/>
      <c r="I10" s="91" t="s">
        <v>164</v>
      </c>
      <c r="J10" s="370" t="s">
        <v>165</v>
      </c>
      <c r="K10" s="370"/>
      <c r="L10" s="366" t="s">
        <v>166</v>
      </c>
      <c r="M10" s="367"/>
      <c r="N10" s="91" t="s">
        <v>215</v>
      </c>
      <c r="O10" s="370" t="s">
        <v>215</v>
      </c>
      <c r="P10" s="370"/>
      <c r="Q10" s="368" t="s">
        <v>168</v>
      </c>
      <c r="R10" s="369"/>
      <c r="S10" s="370"/>
      <c r="T10" s="370"/>
      <c r="U10" s="370"/>
      <c r="V10" s="370"/>
      <c r="W10" s="370"/>
      <c r="X10" s="374"/>
      <c r="Y10" s="375"/>
      <c r="Z10" s="356"/>
      <c r="AA10" s="356"/>
      <c r="AB10" s="356"/>
    </row>
    <row r="11" spans="1:28" ht="27.75" customHeight="1">
      <c r="A11" s="370"/>
      <c r="B11" s="370"/>
      <c r="C11" s="370"/>
      <c r="D11" s="370"/>
      <c r="E11" s="370"/>
      <c r="F11" s="371"/>
      <c r="G11" s="94" t="s">
        <v>169</v>
      </c>
      <c r="H11" s="94" t="s">
        <v>170</v>
      </c>
      <c r="I11" s="94" t="s">
        <v>170</v>
      </c>
      <c r="J11" s="94" t="s">
        <v>169</v>
      </c>
      <c r="K11" s="94" t="s">
        <v>170</v>
      </c>
      <c r="L11" s="94" t="s">
        <v>169</v>
      </c>
      <c r="M11" s="94" t="s">
        <v>170</v>
      </c>
      <c r="N11" s="94" t="s">
        <v>170</v>
      </c>
      <c r="O11" s="94" t="s">
        <v>169</v>
      </c>
      <c r="P11" s="94" t="s">
        <v>170</v>
      </c>
      <c r="Q11" s="94" t="s">
        <v>169</v>
      </c>
      <c r="R11" s="94" t="s">
        <v>170</v>
      </c>
      <c r="S11" s="94" t="s">
        <v>170</v>
      </c>
      <c r="T11" s="94" t="s">
        <v>170</v>
      </c>
      <c r="U11" s="94" t="s">
        <v>170</v>
      </c>
      <c r="V11" s="94" t="s">
        <v>170</v>
      </c>
      <c r="W11" s="94" t="s">
        <v>170</v>
      </c>
      <c r="X11" s="94" t="s">
        <v>227</v>
      </c>
      <c r="Y11" s="94" t="s">
        <v>170</v>
      </c>
      <c r="Z11" s="94" t="s">
        <v>170</v>
      </c>
      <c r="AA11" s="94" t="s">
        <v>170</v>
      </c>
      <c r="AB11" s="94" t="s">
        <v>170</v>
      </c>
    </row>
    <row r="12" spans="1:28">
      <c r="A12" s="94">
        <v>1</v>
      </c>
      <c r="B12" s="94">
        <v>2</v>
      </c>
      <c r="C12" s="94">
        <v>3</v>
      </c>
      <c r="D12" s="94">
        <v>4</v>
      </c>
      <c r="E12" s="94">
        <v>5</v>
      </c>
      <c r="F12" s="94">
        <v>6</v>
      </c>
      <c r="G12" s="94">
        <v>7</v>
      </c>
      <c r="H12" s="94">
        <v>8</v>
      </c>
      <c r="I12" s="94">
        <v>9</v>
      </c>
      <c r="J12" s="94">
        <v>10</v>
      </c>
      <c r="K12" s="94">
        <v>11</v>
      </c>
      <c r="L12" s="94">
        <v>12</v>
      </c>
      <c r="M12" s="94">
        <v>13</v>
      </c>
      <c r="N12" s="94">
        <v>9</v>
      </c>
      <c r="O12" s="94">
        <v>10</v>
      </c>
      <c r="P12" s="94">
        <v>11</v>
      </c>
      <c r="Q12" s="94">
        <v>12</v>
      </c>
      <c r="R12" s="94">
        <v>13</v>
      </c>
      <c r="S12" s="94">
        <v>14</v>
      </c>
      <c r="T12" s="94">
        <v>15</v>
      </c>
      <c r="U12" s="94">
        <v>16</v>
      </c>
      <c r="V12" s="94">
        <v>17</v>
      </c>
      <c r="W12" s="94">
        <v>18</v>
      </c>
      <c r="X12" s="95" t="s">
        <v>209</v>
      </c>
      <c r="Y12" s="95" t="s">
        <v>216</v>
      </c>
      <c r="Z12" s="95" t="s">
        <v>217</v>
      </c>
      <c r="AA12" s="95" t="s">
        <v>228</v>
      </c>
      <c r="AB12" s="95" t="s">
        <v>229</v>
      </c>
    </row>
    <row r="13" spans="1:28" ht="14.45" customHeight="1">
      <c r="A13" s="363" t="s">
        <v>226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5"/>
    </row>
    <row r="14" spans="1:28">
      <c r="A14" s="96">
        <v>1</v>
      </c>
      <c r="B14" s="189" t="s">
        <v>233</v>
      </c>
      <c r="C14" s="190">
        <v>1</v>
      </c>
      <c r="D14" s="188">
        <v>7040</v>
      </c>
      <c r="E14" s="99">
        <v>2.5099999999999998</v>
      </c>
      <c r="F14" s="188">
        <f t="shared" ref="F14:F17" si="0">+D14*E14</f>
        <v>17670.399999999998</v>
      </c>
      <c r="G14" s="100">
        <v>0.25</v>
      </c>
      <c r="H14" s="188">
        <f t="shared" ref="H14:H17" si="1">F14*G14</f>
        <v>4417.5999999999995</v>
      </c>
      <c r="I14" s="106"/>
      <c r="J14" s="100"/>
      <c r="K14" s="161"/>
      <c r="L14" s="100"/>
      <c r="M14" s="103"/>
      <c r="N14" s="188">
        <v>6350</v>
      </c>
      <c r="O14" s="100">
        <v>0.4</v>
      </c>
      <c r="P14" s="188">
        <f t="shared" ref="P14:P17" si="2">+F14*O14</f>
        <v>7068.16</v>
      </c>
      <c r="Q14" s="102"/>
      <c r="R14" s="98">
        <f t="shared" ref="R14:R17" si="3">F14*Q14</f>
        <v>0</v>
      </c>
      <c r="S14" s="188">
        <f t="shared" ref="S14:S29" si="4">+F14+H14+I14+M14+P14+R14+N14</f>
        <v>35506.159999999996</v>
      </c>
      <c r="T14" s="98">
        <f t="shared" ref="T14:T17" si="5">S14*C14</f>
        <v>35506.159999999996</v>
      </c>
      <c r="U14" s="98">
        <f t="shared" ref="U14:U29" si="6">(((T14+(T14*14.0135/12/12)))*3/3/29.6)*30</f>
        <v>39487.98291920044</v>
      </c>
      <c r="V14" s="98">
        <f t="shared" ref="V14:V29" si="7">T14*2</f>
        <v>71012.319999999992</v>
      </c>
      <c r="W14" s="98">
        <f t="shared" ref="W14:W17" si="8">(T14*14.0135)/12</f>
        <v>41463.797763333328</v>
      </c>
      <c r="X14" s="98"/>
      <c r="Y14" s="98"/>
      <c r="Z14" s="105">
        <f>(T14*9)+U14+V14+W14+Y14</f>
        <v>471519.5406825337</v>
      </c>
      <c r="AA14" s="105">
        <f>((T14*9)+U14+W14)*0.1725</f>
        <v>69087.49556773706</v>
      </c>
      <c r="AB14" s="105">
        <f t="shared" ref="AB14:AB17" si="9">Z14+AA14</f>
        <v>540607.03625027079</v>
      </c>
    </row>
    <row r="15" spans="1:28">
      <c r="A15" s="96">
        <v>2</v>
      </c>
      <c r="B15" s="189" t="s">
        <v>234</v>
      </c>
      <c r="C15" s="190">
        <v>1</v>
      </c>
      <c r="D15" s="188">
        <v>7040</v>
      </c>
      <c r="E15" s="99">
        <v>2.5099999999999998</v>
      </c>
      <c r="F15" s="188">
        <f t="shared" si="0"/>
        <v>17670.399999999998</v>
      </c>
      <c r="G15" s="100">
        <v>0.25</v>
      </c>
      <c r="H15" s="188">
        <f t="shared" si="1"/>
        <v>4417.5999999999995</v>
      </c>
      <c r="I15" s="106"/>
      <c r="J15" s="100"/>
      <c r="K15" s="161"/>
      <c r="L15" s="100"/>
      <c r="M15" s="103"/>
      <c r="N15" s="188">
        <v>6350</v>
      </c>
      <c r="O15" s="100">
        <v>0.4</v>
      </c>
      <c r="P15" s="188">
        <f t="shared" si="2"/>
        <v>7068.16</v>
      </c>
      <c r="Q15" s="102"/>
      <c r="R15" s="98">
        <f t="shared" si="3"/>
        <v>0</v>
      </c>
      <c r="S15" s="188">
        <f t="shared" si="4"/>
        <v>35506.159999999996</v>
      </c>
      <c r="T15" s="98">
        <f t="shared" si="5"/>
        <v>35506.159999999996</v>
      </c>
      <c r="U15" s="98">
        <f t="shared" si="6"/>
        <v>39487.98291920044</v>
      </c>
      <c r="V15" s="98">
        <f t="shared" si="7"/>
        <v>71012.319999999992</v>
      </c>
      <c r="W15" s="98">
        <f t="shared" si="8"/>
        <v>41463.797763333328</v>
      </c>
      <c r="X15" s="98"/>
      <c r="Y15" s="98"/>
      <c r="Z15" s="105">
        <f>(T15*9)+U15+V15+W15+Y15</f>
        <v>471519.5406825337</v>
      </c>
      <c r="AA15" s="105">
        <f>((T15*9)+U15+W15)*0.1725</f>
        <v>69087.49556773706</v>
      </c>
      <c r="AB15" s="105">
        <f t="shared" si="9"/>
        <v>540607.03625027079</v>
      </c>
    </row>
    <row r="16" spans="1:28">
      <c r="A16" s="96">
        <v>3</v>
      </c>
      <c r="B16" s="189" t="s">
        <v>235</v>
      </c>
      <c r="C16" s="190">
        <v>1</v>
      </c>
      <c r="D16" s="188">
        <v>7040</v>
      </c>
      <c r="E16" s="99">
        <v>2.5099999999999998</v>
      </c>
      <c r="F16" s="188">
        <f t="shared" si="0"/>
        <v>17670.399999999998</v>
      </c>
      <c r="G16" s="100">
        <v>0.25</v>
      </c>
      <c r="H16" s="188">
        <f t="shared" si="1"/>
        <v>4417.5999999999995</v>
      </c>
      <c r="I16" s="106"/>
      <c r="J16" s="100"/>
      <c r="K16" s="161"/>
      <c r="L16" s="100"/>
      <c r="M16" s="103"/>
      <c r="N16" s="188">
        <v>6350</v>
      </c>
      <c r="O16" s="100">
        <v>0.4</v>
      </c>
      <c r="P16" s="188">
        <f t="shared" si="2"/>
        <v>7068.16</v>
      </c>
      <c r="Q16" s="102"/>
      <c r="R16" s="98">
        <f t="shared" si="3"/>
        <v>0</v>
      </c>
      <c r="S16" s="188">
        <f t="shared" si="4"/>
        <v>35506.159999999996</v>
      </c>
      <c r="T16" s="98">
        <f t="shared" si="5"/>
        <v>35506.159999999996</v>
      </c>
      <c r="U16" s="98">
        <f t="shared" si="6"/>
        <v>39487.98291920044</v>
      </c>
      <c r="V16" s="98">
        <f t="shared" si="7"/>
        <v>71012.319999999992</v>
      </c>
      <c r="W16" s="98">
        <f t="shared" si="8"/>
        <v>41463.797763333328</v>
      </c>
      <c r="X16" s="98"/>
      <c r="Y16" s="98"/>
      <c r="Z16" s="105">
        <f>(T16*9)+U16+V16+W16+Y16</f>
        <v>471519.5406825337</v>
      </c>
      <c r="AA16" s="105">
        <f>((T16*9)+U16+W16)*0.1725</f>
        <v>69087.49556773706</v>
      </c>
      <c r="AB16" s="105">
        <f t="shared" si="9"/>
        <v>540607.03625027079</v>
      </c>
    </row>
    <row r="17" spans="1:28">
      <c r="A17" s="96">
        <v>4</v>
      </c>
      <c r="B17" s="189" t="s">
        <v>236</v>
      </c>
      <c r="C17" s="190">
        <v>1</v>
      </c>
      <c r="D17" s="188">
        <v>7040</v>
      </c>
      <c r="E17" s="99">
        <v>2.5099999999999998</v>
      </c>
      <c r="F17" s="188">
        <f t="shared" si="0"/>
        <v>17670.399999999998</v>
      </c>
      <c r="G17" s="100">
        <v>0.25</v>
      </c>
      <c r="H17" s="188">
        <f t="shared" si="1"/>
        <v>4417.5999999999995</v>
      </c>
      <c r="I17" s="106"/>
      <c r="J17" s="100"/>
      <c r="K17" s="161"/>
      <c r="L17" s="100"/>
      <c r="M17" s="103"/>
      <c r="N17" s="188">
        <v>6350</v>
      </c>
      <c r="O17" s="100">
        <v>0.4</v>
      </c>
      <c r="P17" s="188">
        <f t="shared" si="2"/>
        <v>7068.16</v>
      </c>
      <c r="Q17" s="102"/>
      <c r="R17" s="98">
        <f t="shared" si="3"/>
        <v>0</v>
      </c>
      <c r="S17" s="188">
        <f t="shared" si="4"/>
        <v>35506.159999999996</v>
      </c>
      <c r="T17" s="98">
        <f t="shared" si="5"/>
        <v>35506.159999999996</v>
      </c>
      <c r="U17" s="98">
        <f t="shared" si="6"/>
        <v>39487.98291920044</v>
      </c>
      <c r="V17" s="98">
        <f t="shared" si="7"/>
        <v>71012.319999999992</v>
      </c>
      <c r="W17" s="98">
        <f t="shared" si="8"/>
        <v>41463.797763333328</v>
      </c>
      <c r="X17" s="98"/>
      <c r="Y17" s="98"/>
      <c r="Z17" s="105">
        <f>(T17*9)+U17+V17+W17+Y17</f>
        <v>471519.5406825337</v>
      </c>
      <c r="AA17" s="105">
        <f>((T17*9)+U17+W17)*0.1725</f>
        <v>69087.49556773706</v>
      </c>
      <c r="AB17" s="105">
        <f t="shared" si="9"/>
        <v>540607.03625027079</v>
      </c>
    </row>
    <row r="18" spans="1:28">
      <c r="A18" s="94"/>
      <c r="B18" s="94" t="s">
        <v>195</v>
      </c>
      <c r="C18" s="177">
        <f>+SUM(C14:C17)</f>
        <v>4</v>
      </c>
      <c r="D18" s="133">
        <f t="shared" ref="D18:AB18" si="10">+SUM(D14:D17)</f>
        <v>28160</v>
      </c>
      <c r="E18" s="177"/>
      <c r="F18" s="133">
        <f t="shared" si="10"/>
        <v>70681.599999999991</v>
      </c>
      <c r="G18" s="177"/>
      <c r="H18" s="133">
        <f t="shared" si="10"/>
        <v>17670.399999999998</v>
      </c>
      <c r="I18" s="177">
        <f t="shared" si="10"/>
        <v>0</v>
      </c>
      <c r="J18" s="177">
        <f t="shared" si="10"/>
        <v>0</v>
      </c>
      <c r="K18" s="177">
        <f t="shared" si="10"/>
        <v>0</v>
      </c>
      <c r="L18" s="177">
        <f t="shared" si="10"/>
        <v>0</v>
      </c>
      <c r="M18" s="177">
        <f t="shared" si="10"/>
        <v>0</v>
      </c>
      <c r="N18" s="133">
        <f t="shared" si="10"/>
        <v>25400</v>
      </c>
      <c r="O18" s="177"/>
      <c r="P18" s="133">
        <f t="shared" si="10"/>
        <v>28272.639999999999</v>
      </c>
      <c r="Q18" s="177">
        <f t="shared" si="10"/>
        <v>0</v>
      </c>
      <c r="R18" s="133">
        <f t="shared" si="10"/>
        <v>0</v>
      </c>
      <c r="S18" s="133">
        <f t="shared" si="10"/>
        <v>142024.63999999998</v>
      </c>
      <c r="T18" s="133">
        <f t="shared" si="10"/>
        <v>142024.63999999998</v>
      </c>
      <c r="U18" s="133">
        <f t="shared" si="10"/>
        <v>157951.93167680176</v>
      </c>
      <c r="V18" s="133">
        <f t="shared" si="10"/>
        <v>284049.27999999997</v>
      </c>
      <c r="W18" s="133">
        <f t="shared" si="10"/>
        <v>165855.19105333331</v>
      </c>
      <c r="X18" s="133">
        <f t="shared" ref="X18" si="11">+SUM(X14:X17)</f>
        <v>0</v>
      </c>
      <c r="Y18" s="133">
        <f t="shared" ref="Y18" si="12">+SUM(Y14:Y17)</f>
        <v>0</v>
      </c>
      <c r="Z18" s="133">
        <f t="shared" si="10"/>
        <v>1886078.1627301348</v>
      </c>
      <c r="AA18" s="133">
        <f t="shared" si="10"/>
        <v>276349.98227094824</v>
      </c>
      <c r="AB18" s="133">
        <f t="shared" si="10"/>
        <v>2162428.1450010831</v>
      </c>
    </row>
    <row r="19" spans="1:28">
      <c r="A19" s="96">
        <v>5</v>
      </c>
      <c r="B19" s="189" t="s">
        <v>237</v>
      </c>
      <c r="C19" s="190">
        <v>1</v>
      </c>
      <c r="D19" s="188">
        <v>7040</v>
      </c>
      <c r="E19" s="99">
        <v>1.8</v>
      </c>
      <c r="F19" s="188">
        <f t="shared" ref="F19:F20" si="13">+D19*E19</f>
        <v>12672</v>
      </c>
      <c r="G19" s="100">
        <v>0.05</v>
      </c>
      <c r="H19" s="188">
        <f t="shared" ref="H19:H20" si="14">F19*G19</f>
        <v>633.6</v>
      </c>
      <c r="I19" s="106"/>
      <c r="J19" s="100"/>
      <c r="K19" s="161"/>
      <c r="L19" s="100"/>
      <c r="M19" s="103"/>
      <c r="N19" s="188">
        <v>6350</v>
      </c>
      <c r="O19" s="100">
        <v>0.9</v>
      </c>
      <c r="P19" s="188">
        <f t="shared" ref="P19:P20" si="15">+F19*O19</f>
        <v>11404.800000000001</v>
      </c>
      <c r="Q19" s="102"/>
      <c r="R19" s="98">
        <f t="shared" ref="R19:R20" si="16">F19*Q19</f>
        <v>0</v>
      </c>
      <c r="S19" s="188">
        <f t="shared" ref="S19:S20" si="17">+F19+H19+I19+M19+P19+R19+N19</f>
        <v>31060.400000000001</v>
      </c>
      <c r="T19" s="98">
        <f t="shared" ref="T19:T20" si="18">S19*C19</f>
        <v>31060.400000000001</v>
      </c>
      <c r="U19" s="98">
        <f t="shared" ref="U19:U20" si="19">(((T19+(T19*14.0135/12/12)))*3/3/29.6)*30</f>
        <v>34543.655091497749</v>
      </c>
      <c r="V19" s="98">
        <f t="shared" ref="V19:V20" si="20">T19*2</f>
        <v>62120.800000000003</v>
      </c>
      <c r="W19" s="98">
        <f t="shared" ref="W19:W20" si="21">(T19*14.0135)/12</f>
        <v>36272.076283333336</v>
      </c>
      <c r="X19" s="98"/>
      <c r="Y19" s="98"/>
      <c r="Z19" s="105">
        <f t="shared" ref="Z19:Z29" si="22">(T19*9)+U19+V19+W19+Y19</f>
        <v>412480.13137483114</v>
      </c>
      <c r="AA19" s="105">
        <f t="shared" ref="AA19:AA29" si="23">((T19*9)+U19+W19)*0.1725</f>
        <v>60436.984662158371</v>
      </c>
      <c r="AB19" s="105">
        <f t="shared" ref="AB19:AB20" si="24">Z19+AA19</f>
        <v>472917.11603698949</v>
      </c>
    </row>
    <row r="20" spans="1:28">
      <c r="A20" s="96">
        <v>6</v>
      </c>
      <c r="B20" s="189" t="s">
        <v>238</v>
      </c>
      <c r="C20" s="190">
        <v>1</v>
      </c>
      <c r="D20" s="188">
        <v>7040</v>
      </c>
      <c r="E20" s="99">
        <v>1.8</v>
      </c>
      <c r="F20" s="188">
        <f t="shared" si="13"/>
        <v>12672</v>
      </c>
      <c r="G20" s="100">
        <v>0.4</v>
      </c>
      <c r="H20" s="188">
        <f t="shared" si="14"/>
        <v>5068.8</v>
      </c>
      <c r="I20" s="106"/>
      <c r="J20" s="106"/>
      <c r="K20" s="106"/>
      <c r="L20" s="100"/>
      <c r="M20" s="103"/>
      <c r="N20" s="188">
        <v>6350</v>
      </c>
      <c r="O20" s="100">
        <v>0.6</v>
      </c>
      <c r="P20" s="188">
        <f t="shared" si="15"/>
        <v>7603.2</v>
      </c>
      <c r="Q20" s="102"/>
      <c r="R20" s="98">
        <f t="shared" si="16"/>
        <v>0</v>
      </c>
      <c r="S20" s="188">
        <f t="shared" si="17"/>
        <v>31694</v>
      </c>
      <c r="T20" s="98">
        <f t="shared" si="18"/>
        <v>31694</v>
      </c>
      <c r="U20" s="98">
        <f t="shared" si="19"/>
        <v>35248.30988879504</v>
      </c>
      <c r="V20" s="98">
        <f t="shared" si="20"/>
        <v>63388</v>
      </c>
      <c r="W20" s="98">
        <f t="shared" si="21"/>
        <v>37011.989083333334</v>
      </c>
      <c r="X20" s="98"/>
      <c r="Y20" s="98"/>
      <c r="Z20" s="105">
        <f t="shared" si="22"/>
        <v>420894.29897212837</v>
      </c>
      <c r="AA20" s="105">
        <f t="shared" si="23"/>
        <v>61669.83657269214</v>
      </c>
      <c r="AB20" s="105">
        <f t="shared" si="24"/>
        <v>482564.13554482051</v>
      </c>
    </row>
    <row r="21" spans="1:28">
      <c r="A21" s="96">
        <v>7</v>
      </c>
      <c r="B21" s="191" t="s">
        <v>239</v>
      </c>
      <c r="C21" s="190">
        <v>1</v>
      </c>
      <c r="D21" s="188">
        <v>7040</v>
      </c>
      <c r="E21" s="190">
        <v>1.8</v>
      </c>
      <c r="F21" s="188">
        <f t="shared" ref="F21:F29" si="25">+D21*E21</f>
        <v>12672</v>
      </c>
      <c r="G21" s="100"/>
      <c r="H21" s="188"/>
      <c r="I21" s="106"/>
      <c r="J21" s="100"/>
      <c r="K21" s="161">
        <f>F21*J21</f>
        <v>0</v>
      </c>
      <c r="L21" s="100"/>
      <c r="M21" s="103"/>
      <c r="N21" s="188">
        <v>6350</v>
      </c>
      <c r="O21" s="100"/>
      <c r="P21" s="188">
        <f>3800+2000</f>
        <v>5800</v>
      </c>
      <c r="Q21" s="102"/>
      <c r="R21" s="98">
        <f>F21*Q21</f>
        <v>0</v>
      </c>
      <c r="S21" s="188">
        <f t="shared" si="4"/>
        <v>24822</v>
      </c>
      <c r="T21" s="98">
        <f t="shared" ref="T21:T29" si="26">S21*C21</f>
        <v>24822</v>
      </c>
      <c r="U21" s="98">
        <f t="shared" si="6"/>
        <v>27605.652428209458</v>
      </c>
      <c r="V21" s="98">
        <f t="shared" si="7"/>
        <v>49644</v>
      </c>
      <c r="W21" s="98">
        <f t="shared" ref="W21:W29" si="27">(T21*14.0135)/12</f>
        <v>28986.924750000002</v>
      </c>
      <c r="X21" s="98"/>
      <c r="Y21" s="98"/>
      <c r="Z21" s="105">
        <f t="shared" si="22"/>
        <v>329634.57717820944</v>
      </c>
      <c r="AA21" s="105">
        <f t="shared" si="23"/>
        <v>48298.374563241123</v>
      </c>
      <c r="AB21" s="105">
        <f t="shared" ref="AB21:AB29" si="28">Z21+AA21</f>
        <v>377932.95174145058</v>
      </c>
    </row>
    <row r="22" spans="1:28">
      <c r="A22" s="96">
        <v>8</v>
      </c>
      <c r="B22" s="191" t="s">
        <v>240</v>
      </c>
      <c r="C22" s="190">
        <v>1</v>
      </c>
      <c r="D22" s="188">
        <v>7040</v>
      </c>
      <c r="E22" s="109">
        <v>1.8</v>
      </c>
      <c r="F22" s="188">
        <f t="shared" si="25"/>
        <v>12672</v>
      </c>
      <c r="G22" s="100"/>
      <c r="H22" s="188"/>
      <c r="I22" s="106"/>
      <c r="J22" s="106"/>
      <c r="K22" s="106"/>
      <c r="L22" s="100"/>
      <c r="M22" s="103"/>
      <c r="N22" s="188">
        <v>6350</v>
      </c>
      <c r="O22" s="100"/>
      <c r="P22" s="188">
        <f>2500+2000</f>
        <v>4500</v>
      </c>
      <c r="Q22" s="102"/>
      <c r="R22" s="98">
        <f>F22*Q22</f>
        <v>0</v>
      </c>
      <c r="S22" s="188">
        <f t="shared" si="4"/>
        <v>23522</v>
      </c>
      <c r="T22" s="98">
        <f t="shared" si="26"/>
        <v>23522</v>
      </c>
      <c r="U22" s="98">
        <f t="shared" si="6"/>
        <v>26159.864491835586</v>
      </c>
      <c r="V22" s="98">
        <f t="shared" si="7"/>
        <v>47044</v>
      </c>
      <c r="W22" s="98">
        <f t="shared" si="27"/>
        <v>27468.795583333336</v>
      </c>
      <c r="X22" s="98"/>
      <c r="Y22" s="98"/>
      <c r="Z22" s="105">
        <f t="shared" si="22"/>
        <v>312370.66007516894</v>
      </c>
      <c r="AA22" s="105">
        <f t="shared" si="23"/>
        <v>45768.848862966639</v>
      </c>
      <c r="AB22" s="105">
        <f t="shared" si="28"/>
        <v>358139.50893813558</v>
      </c>
    </row>
    <row r="23" spans="1:28">
      <c r="A23" s="96">
        <v>9</v>
      </c>
      <c r="B23" s="191" t="s">
        <v>241</v>
      </c>
      <c r="C23" s="190">
        <v>1</v>
      </c>
      <c r="D23" s="188">
        <v>7040</v>
      </c>
      <c r="E23" s="109">
        <v>1.2</v>
      </c>
      <c r="F23" s="188">
        <f t="shared" si="25"/>
        <v>8448</v>
      </c>
      <c r="G23" s="100"/>
      <c r="H23" s="188"/>
      <c r="I23" s="106"/>
      <c r="J23" s="106"/>
      <c r="K23" s="106"/>
      <c r="L23" s="100"/>
      <c r="M23" s="103"/>
      <c r="N23" s="188"/>
      <c r="O23" s="100"/>
      <c r="P23" s="188">
        <f>3000+1000</f>
        <v>4000</v>
      </c>
      <c r="Q23" s="100">
        <v>0.25</v>
      </c>
      <c r="R23" s="98">
        <f>F23*Q23</f>
        <v>2112</v>
      </c>
      <c r="S23" s="188">
        <f t="shared" si="4"/>
        <v>14560</v>
      </c>
      <c r="T23" s="98">
        <f t="shared" si="26"/>
        <v>14560</v>
      </c>
      <c r="U23" s="98">
        <f t="shared" si="6"/>
        <v>16192.824887387389</v>
      </c>
      <c r="V23" s="98">
        <f t="shared" si="7"/>
        <v>29120</v>
      </c>
      <c r="W23" s="98">
        <f t="shared" si="27"/>
        <v>17003.046666666665</v>
      </c>
      <c r="X23" s="98"/>
      <c r="Y23" s="98"/>
      <c r="Z23" s="105">
        <f t="shared" si="22"/>
        <v>193355.87155405406</v>
      </c>
      <c r="AA23" s="105">
        <f t="shared" si="23"/>
        <v>28330.687843074324</v>
      </c>
      <c r="AB23" s="105">
        <f t="shared" si="28"/>
        <v>221686.55939712838</v>
      </c>
    </row>
    <row r="24" spans="1:28">
      <c r="A24" s="96">
        <v>10</v>
      </c>
      <c r="B24" s="191" t="s">
        <v>242</v>
      </c>
      <c r="C24" s="190">
        <v>26</v>
      </c>
      <c r="D24" s="188">
        <v>7040</v>
      </c>
      <c r="E24" s="109">
        <v>1.7</v>
      </c>
      <c r="F24" s="188">
        <f t="shared" si="25"/>
        <v>11968</v>
      </c>
      <c r="G24" s="100"/>
      <c r="H24" s="188"/>
      <c r="I24" s="106"/>
      <c r="J24" s="106"/>
      <c r="K24" s="106"/>
      <c r="L24" s="100"/>
      <c r="M24" s="103"/>
      <c r="N24" s="188">
        <v>6350</v>
      </c>
      <c r="O24" s="100"/>
      <c r="P24" s="188">
        <f>16000+4500</f>
        <v>20500</v>
      </c>
      <c r="Q24" s="100"/>
      <c r="R24" s="98"/>
      <c r="S24" s="188">
        <f t="shared" si="4"/>
        <v>38818</v>
      </c>
      <c r="T24" s="98">
        <f t="shared" si="26"/>
        <v>1009268</v>
      </c>
      <c r="U24" s="98">
        <f t="shared" si="6"/>
        <v>1122451.9222832206</v>
      </c>
      <c r="V24" s="98">
        <f t="shared" si="7"/>
        <v>2018536</v>
      </c>
      <c r="W24" s="98">
        <f t="shared" si="27"/>
        <v>1178614.7598333333</v>
      </c>
      <c r="X24" s="98"/>
      <c r="Y24" s="98"/>
      <c r="Z24" s="105">
        <f t="shared" si="22"/>
        <v>13403014.682116555</v>
      </c>
      <c r="AA24" s="105">
        <f t="shared" si="23"/>
        <v>1963822.5726651056</v>
      </c>
      <c r="AB24" s="105">
        <f t="shared" si="28"/>
        <v>15366837.25478166</v>
      </c>
    </row>
    <row r="25" spans="1:28">
      <c r="A25" s="96">
        <v>11</v>
      </c>
      <c r="B25" s="191" t="s">
        <v>243</v>
      </c>
      <c r="C25" s="190">
        <v>2</v>
      </c>
      <c r="D25" s="188">
        <v>7040</v>
      </c>
      <c r="E25" s="192">
        <v>1.7</v>
      </c>
      <c r="F25" s="188">
        <f t="shared" si="25"/>
        <v>11968</v>
      </c>
      <c r="G25" s="161"/>
      <c r="H25" s="188"/>
      <c r="I25" s="161"/>
      <c r="J25" s="161"/>
      <c r="K25" s="161"/>
      <c r="L25" s="100"/>
      <c r="M25" s="103"/>
      <c r="N25" s="188">
        <v>6350</v>
      </c>
      <c r="O25" s="100"/>
      <c r="P25" s="188">
        <f>16000+2000</f>
        <v>18000</v>
      </c>
      <c r="Q25" s="100"/>
      <c r="R25" s="98"/>
      <c r="S25" s="188">
        <f t="shared" si="4"/>
        <v>36318</v>
      </c>
      <c r="T25" s="98">
        <f t="shared" si="26"/>
        <v>72636</v>
      </c>
      <c r="U25" s="98">
        <f t="shared" si="6"/>
        <v>80781.732728040544</v>
      </c>
      <c r="V25" s="98">
        <f t="shared" si="7"/>
        <v>145272</v>
      </c>
      <c r="W25" s="98">
        <f t="shared" si="27"/>
        <v>84823.715500000006</v>
      </c>
      <c r="X25" s="98"/>
      <c r="Y25" s="98"/>
      <c r="Z25" s="105">
        <f t="shared" si="22"/>
        <v>964601.44822804059</v>
      </c>
      <c r="AA25" s="105">
        <f t="shared" si="23"/>
        <v>141334.329819337</v>
      </c>
      <c r="AB25" s="105">
        <f t="shared" si="28"/>
        <v>1105935.7780473777</v>
      </c>
    </row>
    <row r="26" spans="1:28">
      <c r="A26" s="96">
        <v>12</v>
      </c>
      <c r="B26" s="193" t="s">
        <v>244</v>
      </c>
      <c r="C26" s="190">
        <v>1</v>
      </c>
      <c r="D26" s="188">
        <v>7040</v>
      </c>
      <c r="E26" s="192">
        <v>1.4</v>
      </c>
      <c r="F26" s="188">
        <f t="shared" si="25"/>
        <v>9856</v>
      </c>
      <c r="G26" s="100"/>
      <c r="H26" s="188"/>
      <c r="I26" s="106"/>
      <c r="J26" s="106"/>
      <c r="K26" s="106"/>
      <c r="L26" s="100"/>
      <c r="M26" s="103"/>
      <c r="N26" s="188">
        <v>6350</v>
      </c>
      <c r="O26" s="100"/>
      <c r="P26" s="188">
        <f>12000+3000</f>
        <v>15000</v>
      </c>
      <c r="Q26" s="100"/>
      <c r="R26" s="98"/>
      <c r="S26" s="188">
        <f t="shared" si="4"/>
        <v>31206</v>
      </c>
      <c r="T26" s="98">
        <f t="shared" si="26"/>
        <v>31206</v>
      </c>
      <c r="U26" s="98">
        <f t="shared" si="6"/>
        <v>34705.583340371617</v>
      </c>
      <c r="V26" s="98">
        <f t="shared" si="7"/>
        <v>62412</v>
      </c>
      <c r="W26" s="98">
        <f t="shared" si="27"/>
        <v>36442.106749999999</v>
      </c>
      <c r="X26" s="98"/>
      <c r="Y26" s="98"/>
      <c r="Z26" s="105">
        <f t="shared" si="22"/>
        <v>414413.69009037159</v>
      </c>
      <c r="AA26" s="105">
        <f t="shared" si="23"/>
        <v>60720.291540589096</v>
      </c>
      <c r="AB26" s="105">
        <f t="shared" si="28"/>
        <v>475133.98163096071</v>
      </c>
    </row>
    <row r="27" spans="1:28">
      <c r="A27" s="96">
        <v>13</v>
      </c>
      <c r="B27" s="193" t="s">
        <v>245</v>
      </c>
      <c r="C27" s="190">
        <v>1</v>
      </c>
      <c r="D27" s="188">
        <v>7040</v>
      </c>
      <c r="E27" s="192">
        <v>1.4</v>
      </c>
      <c r="F27" s="188">
        <f t="shared" si="25"/>
        <v>9856</v>
      </c>
      <c r="G27" s="100"/>
      <c r="H27" s="188"/>
      <c r="I27" s="106"/>
      <c r="J27" s="106"/>
      <c r="K27" s="106"/>
      <c r="L27" s="100"/>
      <c r="M27" s="103"/>
      <c r="N27" s="188">
        <v>6350</v>
      </c>
      <c r="O27" s="100"/>
      <c r="P27" s="188">
        <f>19000+2000</f>
        <v>21000</v>
      </c>
      <c r="Q27" s="100"/>
      <c r="R27" s="98"/>
      <c r="S27" s="188">
        <f t="shared" si="4"/>
        <v>37206</v>
      </c>
      <c r="T27" s="98">
        <f t="shared" si="26"/>
        <v>37206</v>
      </c>
      <c r="U27" s="98">
        <f t="shared" si="6"/>
        <v>41378.450739020271</v>
      </c>
      <c r="V27" s="98">
        <f t="shared" si="7"/>
        <v>74412</v>
      </c>
      <c r="W27" s="98">
        <f t="shared" si="27"/>
        <v>43448.856749999999</v>
      </c>
      <c r="X27" s="98"/>
      <c r="Y27" s="98"/>
      <c r="Z27" s="105">
        <f t="shared" si="22"/>
        <v>494093.30748902023</v>
      </c>
      <c r="AA27" s="105">
        <f t="shared" si="23"/>
        <v>72395.025541855983</v>
      </c>
      <c r="AB27" s="105">
        <f t="shared" si="28"/>
        <v>566488.33303087624</v>
      </c>
    </row>
    <row r="28" spans="1:28">
      <c r="A28" s="96">
        <v>14</v>
      </c>
      <c r="B28" s="193" t="s">
        <v>246</v>
      </c>
      <c r="C28" s="190">
        <v>37</v>
      </c>
      <c r="D28" s="188">
        <v>7040</v>
      </c>
      <c r="E28" s="192">
        <v>1.2</v>
      </c>
      <c r="F28" s="188">
        <f t="shared" si="25"/>
        <v>8448</v>
      </c>
      <c r="G28" s="100"/>
      <c r="H28" s="188"/>
      <c r="I28" s="106"/>
      <c r="J28" s="106"/>
      <c r="K28" s="106"/>
      <c r="L28" s="100"/>
      <c r="M28" s="103"/>
      <c r="N28" s="188">
        <v>6350</v>
      </c>
      <c r="O28" s="100"/>
      <c r="P28" s="188">
        <f>19000+5000</f>
        <v>24000</v>
      </c>
      <c r="Q28" s="100"/>
      <c r="R28" s="98"/>
      <c r="S28" s="188">
        <f t="shared" si="4"/>
        <v>38798</v>
      </c>
      <c r="T28" s="98">
        <f t="shared" si="26"/>
        <v>1435526</v>
      </c>
      <c r="U28" s="98">
        <f t="shared" si="6"/>
        <v>1596512.4408854162</v>
      </c>
      <c r="V28" s="98">
        <f t="shared" si="7"/>
        <v>2871052</v>
      </c>
      <c r="W28" s="98">
        <f t="shared" si="27"/>
        <v>1676395.3000833334</v>
      </c>
      <c r="X28" s="98"/>
      <c r="Y28" s="98"/>
      <c r="Z28" s="105">
        <f t="shared" si="22"/>
        <v>19063693.740968749</v>
      </c>
      <c r="AA28" s="105">
        <f t="shared" si="23"/>
        <v>2793230.7003171095</v>
      </c>
      <c r="AB28" s="105">
        <f t="shared" si="28"/>
        <v>21856924.44128586</v>
      </c>
    </row>
    <row r="29" spans="1:28">
      <c r="A29" s="96">
        <v>15</v>
      </c>
      <c r="B29" s="193" t="s">
        <v>247</v>
      </c>
      <c r="C29" s="190">
        <v>5</v>
      </c>
      <c r="D29" s="188">
        <v>7040</v>
      </c>
      <c r="E29" s="192">
        <v>1.2</v>
      </c>
      <c r="F29" s="188">
        <f t="shared" si="25"/>
        <v>8448</v>
      </c>
      <c r="G29" s="100"/>
      <c r="H29" s="188"/>
      <c r="I29" s="106"/>
      <c r="J29" s="106"/>
      <c r="K29" s="106"/>
      <c r="L29" s="100"/>
      <c r="M29" s="103"/>
      <c r="N29" s="188"/>
      <c r="O29" s="100">
        <v>0.3</v>
      </c>
      <c r="P29" s="188">
        <f>F29*O29+2000</f>
        <v>4534.3999999999996</v>
      </c>
      <c r="Q29" s="100">
        <v>0.5</v>
      </c>
      <c r="R29" s="98">
        <f>SUM(Q29*F29)</f>
        <v>4224</v>
      </c>
      <c r="S29" s="188">
        <f t="shared" si="4"/>
        <v>17206.400000000001</v>
      </c>
      <c r="T29" s="98">
        <f t="shared" si="26"/>
        <v>86032</v>
      </c>
      <c r="U29" s="98">
        <f t="shared" si="6"/>
        <v>95680.021340090083</v>
      </c>
      <c r="V29" s="98">
        <f t="shared" si="7"/>
        <v>172064</v>
      </c>
      <c r="W29" s="98">
        <f t="shared" si="27"/>
        <v>100467.45266666666</v>
      </c>
      <c r="X29" s="98"/>
      <c r="Y29" s="98"/>
      <c r="Z29" s="105">
        <f t="shared" si="22"/>
        <v>1142499.4740067567</v>
      </c>
      <c r="AA29" s="105">
        <f t="shared" si="23"/>
        <v>167400.11926616554</v>
      </c>
      <c r="AB29" s="105">
        <f t="shared" si="28"/>
        <v>1309899.5932729221</v>
      </c>
    </row>
    <row r="30" spans="1:28">
      <c r="A30" s="94"/>
      <c r="B30" s="94" t="s">
        <v>196</v>
      </c>
      <c r="C30" s="177">
        <f>SUM(C19:C29)</f>
        <v>77</v>
      </c>
      <c r="D30" s="133">
        <f t="shared" ref="D30:AB30" si="29">SUM(D19:D29)</f>
        <v>77440</v>
      </c>
      <c r="E30" s="177"/>
      <c r="F30" s="133">
        <f t="shared" si="29"/>
        <v>119680</v>
      </c>
      <c r="G30" s="177"/>
      <c r="H30" s="133">
        <f t="shared" si="29"/>
        <v>5702.4000000000005</v>
      </c>
      <c r="I30" s="177">
        <f t="shared" si="29"/>
        <v>0</v>
      </c>
      <c r="J30" s="177">
        <f t="shared" si="29"/>
        <v>0</v>
      </c>
      <c r="K30" s="177">
        <f t="shared" si="29"/>
        <v>0</v>
      </c>
      <c r="L30" s="177">
        <f t="shared" si="29"/>
        <v>0</v>
      </c>
      <c r="M30" s="177">
        <f t="shared" si="29"/>
        <v>0</v>
      </c>
      <c r="N30" s="133">
        <f t="shared" si="29"/>
        <v>57150</v>
      </c>
      <c r="O30" s="177"/>
      <c r="P30" s="133">
        <f t="shared" si="29"/>
        <v>136342.39999999999</v>
      </c>
      <c r="Q30" s="177"/>
      <c r="R30" s="133">
        <f t="shared" si="29"/>
        <v>6336</v>
      </c>
      <c r="S30" s="133">
        <f t="shared" si="29"/>
        <v>325210.80000000005</v>
      </c>
      <c r="T30" s="133">
        <f t="shared" si="29"/>
        <v>2797532.4</v>
      </c>
      <c r="U30" s="133">
        <f t="shared" si="29"/>
        <v>3111260.4581038849</v>
      </c>
      <c r="V30" s="133">
        <f t="shared" si="29"/>
        <v>5595064.7999999998</v>
      </c>
      <c r="W30" s="133">
        <f t="shared" si="29"/>
        <v>3266935.0239500003</v>
      </c>
      <c r="X30" s="133">
        <f t="shared" ref="X30" si="30">SUM(X19:X29)</f>
        <v>0</v>
      </c>
      <c r="Y30" s="133">
        <f t="shared" ref="Y30" si="31">SUM(Y19:Y29)</f>
        <v>0</v>
      </c>
      <c r="Z30" s="133">
        <f t="shared" si="29"/>
        <v>37151051.882053882</v>
      </c>
      <c r="AA30" s="133">
        <f t="shared" si="29"/>
        <v>5443407.7716542948</v>
      </c>
      <c r="AB30" s="133">
        <f t="shared" si="29"/>
        <v>42594459.65370819</v>
      </c>
    </row>
    <row r="31" spans="1:28">
      <c r="A31" s="94"/>
      <c r="B31" s="94" t="s">
        <v>183</v>
      </c>
      <c r="C31" s="177">
        <f>C18+C30</f>
        <v>81</v>
      </c>
      <c r="D31" s="133">
        <f t="shared" ref="D31:AB31" si="32">D18+D30</f>
        <v>105600</v>
      </c>
      <c r="E31" s="177">
        <f t="shared" si="32"/>
        <v>0</v>
      </c>
      <c r="F31" s="133">
        <f t="shared" si="32"/>
        <v>190361.59999999998</v>
      </c>
      <c r="G31" s="177">
        <f t="shared" si="32"/>
        <v>0</v>
      </c>
      <c r="H31" s="133">
        <f t="shared" si="32"/>
        <v>23372.799999999999</v>
      </c>
      <c r="I31" s="177">
        <f t="shared" si="32"/>
        <v>0</v>
      </c>
      <c r="J31" s="177">
        <f t="shared" si="32"/>
        <v>0</v>
      </c>
      <c r="K31" s="177">
        <f t="shared" si="32"/>
        <v>0</v>
      </c>
      <c r="L31" s="177">
        <f t="shared" si="32"/>
        <v>0</v>
      </c>
      <c r="M31" s="177">
        <f t="shared" si="32"/>
        <v>0</v>
      </c>
      <c r="N31" s="133">
        <f t="shared" si="32"/>
        <v>82550</v>
      </c>
      <c r="O31" s="177">
        <f t="shared" si="32"/>
        <v>0</v>
      </c>
      <c r="P31" s="133">
        <f t="shared" si="32"/>
        <v>164615.03999999998</v>
      </c>
      <c r="Q31" s="177">
        <f t="shared" si="32"/>
        <v>0</v>
      </c>
      <c r="R31" s="133">
        <f t="shared" si="32"/>
        <v>6336</v>
      </c>
      <c r="S31" s="133">
        <f t="shared" si="32"/>
        <v>467235.44000000006</v>
      </c>
      <c r="T31" s="133">
        <f t="shared" si="32"/>
        <v>2939557.04</v>
      </c>
      <c r="U31" s="133">
        <f t="shared" si="32"/>
        <v>3269212.3897806867</v>
      </c>
      <c r="V31" s="133">
        <f t="shared" si="32"/>
        <v>5879114.0800000001</v>
      </c>
      <c r="W31" s="133">
        <f t="shared" si="32"/>
        <v>3432790.2150033335</v>
      </c>
      <c r="X31" s="133">
        <f t="shared" si="32"/>
        <v>0</v>
      </c>
      <c r="Y31" s="133">
        <f t="shared" si="32"/>
        <v>0</v>
      </c>
      <c r="Z31" s="133">
        <f t="shared" si="32"/>
        <v>39037130.044784017</v>
      </c>
      <c r="AA31" s="133">
        <f t="shared" si="32"/>
        <v>5719757.7539252434</v>
      </c>
      <c r="AB31" s="133">
        <f t="shared" si="32"/>
        <v>44756887.798709273</v>
      </c>
    </row>
    <row r="32" spans="1:28">
      <c r="A32" s="363" t="s">
        <v>226</v>
      </c>
      <c r="B32" s="364"/>
      <c r="C32" s="364"/>
      <c r="D32" s="364"/>
      <c r="E32" s="364"/>
      <c r="F32" s="364"/>
      <c r="G32" s="364"/>
      <c r="H32" s="364"/>
      <c r="I32" s="364"/>
      <c r="J32" s="364"/>
      <c r="K32" s="364"/>
      <c r="L32" s="364"/>
      <c r="M32" s="364"/>
      <c r="N32" s="364"/>
      <c r="O32" s="364"/>
      <c r="P32" s="364"/>
      <c r="Q32" s="364"/>
      <c r="R32" s="364"/>
      <c r="S32" s="364"/>
      <c r="T32" s="364"/>
      <c r="U32" s="364"/>
      <c r="V32" s="364"/>
      <c r="W32" s="364"/>
      <c r="X32" s="364"/>
      <c r="Y32" s="364"/>
      <c r="Z32" s="364"/>
      <c r="AA32" s="364"/>
      <c r="AB32" s="365"/>
    </row>
    <row r="33" spans="1:28">
      <c r="A33" s="96">
        <v>1</v>
      </c>
      <c r="B33" s="189" t="s">
        <v>233</v>
      </c>
      <c r="C33" s="190">
        <v>1</v>
      </c>
      <c r="D33" s="188">
        <v>7040</v>
      </c>
      <c r="E33" s="99">
        <v>2.5099999999999998</v>
      </c>
      <c r="F33" s="188">
        <f t="shared" ref="F33:F36" si="33">+D33*E33</f>
        <v>17670.399999999998</v>
      </c>
      <c r="G33" s="100">
        <v>0.25</v>
      </c>
      <c r="H33" s="188">
        <f t="shared" ref="H33:H36" si="34">F33*G33</f>
        <v>4417.5999999999995</v>
      </c>
      <c r="I33" s="106"/>
      <c r="J33" s="100"/>
      <c r="K33" s="161"/>
      <c r="L33" s="100"/>
      <c r="M33" s="103"/>
      <c r="N33" s="188">
        <v>6350</v>
      </c>
      <c r="O33" s="100">
        <v>0.4</v>
      </c>
      <c r="P33" s="188">
        <f t="shared" ref="P33:P36" si="35">+F33*O33</f>
        <v>7068.16</v>
      </c>
      <c r="Q33" s="102"/>
      <c r="R33" s="98">
        <f t="shared" ref="R33:R36" si="36">F33*Q33</f>
        <v>0</v>
      </c>
      <c r="S33" s="188">
        <f t="shared" ref="S33:S36" si="37">+F33+H33+I33+M33+P33+R33+N33</f>
        <v>35506.159999999996</v>
      </c>
      <c r="T33" s="98">
        <f t="shared" ref="T33:T36" si="38">S33*C33</f>
        <v>35506.159999999996</v>
      </c>
      <c r="U33" s="98">
        <f t="shared" ref="U33:U36" si="39">(((T33+(T33*14.0135/12/12)))*3/3/29.6)*30</f>
        <v>39487.98291920044</v>
      </c>
      <c r="V33" s="98">
        <f t="shared" ref="V33:V36" si="40">T33*2</f>
        <v>71012.319999999992</v>
      </c>
      <c r="W33" s="98">
        <f t="shared" ref="W33:W36" si="41">(T33*14.0135)/12</f>
        <v>41463.797763333328</v>
      </c>
      <c r="X33" s="98">
        <v>5000</v>
      </c>
      <c r="Y33" s="98">
        <f>+X33*9*C33</f>
        <v>45000</v>
      </c>
      <c r="Z33" s="105">
        <f>(T33*9)+U33+V33+W33+Y33</f>
        <v>516519.5406825337</v>
      </c>
      <c r="AA33" s="105">
        <f>((T33*9)+U33+W33)*0.1725</f>
        <v>69087.49556773706</v>
      </c>
      <c r="AB33" s="105">
        <f t="shared" ref="AB33:AB36" si="42">Z33+AA33</f>
        <v>585607.03625027079</v>
      </c>
    </row>
    <row r="34" spans="1:28" ht="28.9" customHeight="1">
      <c r="A34" s="96">
        <v>2</v>
      </c>
      <c r="B34" s="189" t="s">
        <v>234</v>
      </c>
      <c r="C34" s="190">
        <v>1</v>
      </c>
      <c r="D34" s="188">
        <v>7040</v>
      </c>
      <c r="E34" s="99">
        <v>2.5099999999999998</v>
      </c>
      <c r="F34" s="188">
        <f t="shared" si="33"/>
        <v>17670.399999999998</v>
      </c>
      <c r="G34" s="100">
        <v>0.25</v>
      </c>
      <c r="H34" s="188">
        <f t="shared" si="34"/>
        <v>4417.5999999999995</v>
      </c>
      <c r="I34" s="106"/>
      <c r="J34" s="100"/>
      <c r="K34" s="161"/>
      <c r="L34" s="100"/>
      <c r="M34" s="103"/>
      <c r="N34" s="188">
        <v>6350</v>
      </c>
      <c r="O34" s="100">
        <v>0.4</v>
      </c>
      <c r="P34" s="188">
        <f t="shared" si="35"/>
        <v>7068.16</v>
      </c>
      <c r="Q34" s="102"/>
      <c r="R34" s="98">
        <f t="shared" si="36"/>
        <v>0</v>
      </c>
      <c r="S34" s="188">
        <f t="shared" si="37"/>
        <v>35506.159999999996</v>
      </c>
      <c r="T34" s="98">
        <f t="shared" si="38"/>
        <v>35506.159999999996</v>
      </c>
      <c r="U34" s="98">
        <f t="shared" si="39"/>
        <v>39487.98291920044</v>
      </c>
      <c r="V34" s="98">
        <f t="shared" si="40"/>
        <v>71012.319999999992</v>
      </c>
      <c r="W34" s="98">
        <f t="shared" si="41"/>
        <v>41463.797763333328</v>
      </c>
      <c r="X34" s="98">
        <v>5000</v>
      </c>
      <c r="Y34" s="98">
        <f>+X34*9*C34</f>
        <v>45000</v>
      </c>
      <c r="Z34" s="105">
        <f>(T34*9)+U34+V34+W34+Y34</f>
        <v>516519.5406825337</v>
      </c>
      <c r="AA34" s="105">
        <f>((T34*9)+U34+W34)*0.1725</f>
        <v>69087.49556773706</v>
      </c>
      <c r="AB34" s="105">
        <f t="shared" si="42"/>
        <v>585607.03625027079</v>
      </c>
    </row>
    <row r="35" spans="1:28">
      <c r="A35" s="96">
        <v>3</v>
      </c>
      <c r="B35" s="189" t="s">
        <v>235</v>
      </c>
      <c r="C35" s="190">
        <v>1</v>
      </c>
      <c r="D35" s="188">
        <v>7040</v>
      </c>
      <c r="E35" s="99">
        <v>2.5099999999999998</v>
      </c>
      <c r="F35" s="188">
        <f t="shared" si="33"/>
        <v>17670.399999999998</v>
      </c>
      <c r="G35" s="100">
        <v>0.25</v>
      </c>
      <c r="H35" s="188">
        <f t="shared" si="34"/>
        <v>4417.5999999999995</v>
      </c>
      <c r="I35" s="106"/>
      <c r="J35" s="100"/>
      <c r="K35" s="161"/>
      <c r="L35" s="100"/>
      <c r="M35" s="103"/>
      <c r="N35" s="188">
        <v>6350</v>
      </c>
      <c r="O35" s="100">
        <v>0.4</v>
      </c>
      <c r="P35" s="188">
        <f t="shared" si="35"/>
        <v>7068.16</v>
      </c>
      <c r="Q35" s="102"/>
      <c r="R35" s="98">
        <f t="shared" si="36"/>
        <v>0</v>
      </c>
      <c r="S35" s="188">
        <f t="shared" si="37"/>
        <v>35506.159999999996</v>
      </c>
      <c r="T35" s="98">
        <f t="shared" si="38"/>
        <v>35506.159999999996</v>
      </c>
      <c r="U35" s="98">
        <f t="shared" si="39"/>
        <v>39487.98291920044</v>
      </c>
      <c r="V35" s="98">
        <f t="shared" si="40"/>
        <v>71012.319999999992</v>
      </c>
      <c r="W35" s="98">
        <f t="shared" si="41"/>
        <v>41463.797763333328</v>
      </c>
      <c r="X35" s="98">
        <v>5000</v>
      </c>
      <c r="Y35" s="98">
        <f>+X35*9*C35</f>
        <v>45000</v>
      </c>
      <c r="Z35" s="105">
        <f>(T35*9)+U35+V35+W35+Y35</f>
        <v>516519.5406825337</v>
      </c>
      <c r="AA35" s="105">
        <f>((T35*9)+U35+W35)*0.1725</f>
        <v>69087.49556773706</v>
      </c>
      <c r="AB35" s="105">
        <f t="shared" si="42"/>
        <v>585607.03625027079</v>
      </c>
    </row>
    <row r="36" spans="1:28">
      <c r="A36" s="96">
        <v>4</v>
      </c>
      <c r="B36" s="189" t="s">
        <v>236</v>
      </c>
      <c r="C36" s="190">
        <v>1</v>
      </c>
      <c r="D36" s="188">
        <v>7040</v>
      </c>
      <c r="E36" s="99">
        <v>2.5099999999999998</v>
      </c>
      <c r="F36" s="188">
        <f t="shared" si="33"/>
        <v>17670.399999999998</v>
      </c>
      <c r="G36" s="100">
        <v>0.25</v>
      </c>
      <c r="H36" s="188">
        <f t="shared" si="34"/>
        <v>4417.5999999999995</v>
      </c>
      <c r="I36" s="106"/>
      <c r="J36" s="100"/>
      <c r="K36" s="161"/>
      <c r="L36" s="100"/>
      <c r="M36" s="103"/>
      <c r="N36" s="188">
        <v>6350</v>
      </c>
      <c r="O36" s="100">
        <v>0.4</v>
      </c>
      <c r="P36" s="188">
        <f t="shared" si="35"/>
        <v>7068.16</v>
      </c>
      <c r="Q36" s="102"/>
      <c r="R36" s="98">
        <f t="shared" si="36"/>
        <v>0</v>
      </c>
      <c r="S36" s="188">
        <f t="shared" si="37"/>
        <v>35506.159999999996</v>
      </c>
      <c r="T36" s="98">
        <f t="shared" si="38"/>
        <v>35506.159999999996</v>
      </c>
      <c r="U36" s="98">
        <f t="shared" si="39"/>
        <v>39487.98291920044</v>
      </c>
      <c r="V36" s="98">
        <f t="shared" si="40"/>
        <v>71012.319999999992</v>
      </c>
      <c r="W36" s="98">
        <f t="shared" si="41"/>
        <v>41463.797763333328</v>
      </c>
      <c r="X36" s="98">
        <v>5000</v>
      </c>
      <c r="Y36" s="98">
        <f>+X36*9*C36</f>
        <v>45000</v>
      </c>
      <c r="Z36" s="105">
        <f>(T36*9)+U36+V36+W36+Y36</f>
        <v>516519.5406825337</v>
      </c>
      <c r="AA36" s="105">
        <f>((T36*9)+U36+W36)*0.1725</f>
        <v>69087.49556773706</v>
      </c>
      <c r="AB36" s="105">
        <f t="shared" si="42"/>
        <v>585607.03625027079</v>
      </c>
    </row>
    <row r="37" spans="1:28">
      <c r="A37" s="94"/>
      <c r="B37" s="94" t="s">
        <v>195</v>
      </c>
      <c r="C37" s="177">
        <f>+SUM(C33:C36)</f>
        <v>4</v>
      </c>
      <c r="D37" s="133">
        <f t="shared" ref="D37" si="43">+SUM(D33:D36)</f>
        <v>28160</v>
      </c>
      <c r="E37" s="177"/>
      <c r="F37" s="133">
        <f t="shared" ref="F37" si="44">+SUM(F33:F36)</f>
        <v>70681.599999999991</v>
      </c>
      <c r="G37" s="177"/>
      <c r="H37" s="133">
        <f t="shared" ref="H37" si="45">+SUM(H33:H36)</f>
        <v>17670.399999999998</v>
      </c>
      <c r="I37" s="177">
        <f t="shared" ref="I37" si="46">+SUM(I33:I36)</f>
        <v>0</v>
      </c>
      <c r="J37" s="177">
        <f t="shared" ref="J37" si="47">+SUM(J33:J36)</f>
        <v>0</v>
      </c>
      <c r="K37" s="177">
        <f t="shared" ref="K37" si="48">+SUM(K33:K36)</f>
        <v>0</v>
      </c>
      <c r="L37" s="177">
        <f t="shared" ref="L37" si="49">+SUM(L33:L36)</f>
        <v>0</v>
      </c>
      <c r="M37" s="177">
        <f t="shared" ref="M37" si="50">+SUM(M33:M36)</f>
        <v>0</v>
      </c>
      <c r="N37" s="133">
        <f t="shared" ref="N37" si="51">+SUM(N33:N36)</f>
        <v>25400</v>
      </c>
      <c r="O37" s="177"/>
      <c r="P37" s="133">
        <f t="shared" ref="P37" si="52">+SUM(P33:P36)</f>
        <v>28272.639999999999</v>
      </c>
      <c r="Q37" s="177">
        <f t="shared" ref="Q37" si="53">+SUM(Q33:Q36)</f>
        <v>0</v>
      </c>
      <c r="R37" s="133">
        <f t="shared" ref="R37" si="54">+SUM(R33:R36)</f>
        <v>0</v>
      </c>
      <c r="S37" s="133">
        <f t="shared" ref="S37" si="55">+SUM(S33:S36)</f>
        <v>142024.63999999998</v>
      </c>
      <c r="T37" s="133">
        <f t="shared" ref="T37" si="56">+SUM(T33:T36)</f>
        <v>142024.63999999998</v>
      </c>
      <c r="U37" s="133">
        <f t="shared" ref="U37" si="57">+SUM(U33:U36)</f>
        <v>157951.93167680176</v>
      </c>
      <c r="V37" s="133">
        <f t="shared" ref="V37" si="58">+SUM(V33:V36)</f>
        <v>284049.27999999997</v>
      </c>
      <c r="W37" s="133">
        <f t="shared" ref="W37" si="59">+SUM(W33:W36)</f>
        <v>165855.19105333331</v>
      </c>
      <c r="X37" s="133">
        <f t="shared" ref="X37" si="60">+SUM(X33:X36)</f>
        <v>20000</v>
      </c>
      <c r="Y37" s="133">
        <f t="shared" ref="Y37" si="61">+SUM(Y33:Y36)</f>
        <v>180000</v>
      </c>
      <c r="Z37" s="133">
        <f t="shared" ref="Z37" si="62">+SUM(Z33:Z36)</f>
        <v>2066078.1627301348</v>
      </c>
      <c r="AA37" s="133">
        <f t="shared" ref="AA37" si="63">+SUM(AA33:AA36)</f>
        <v>276349.98227094824</v>
      </c>
      <c r="AB37" s="133">
        <f t="shared" ref="AB37" si="64">+SUM(AB33:AB36)</f>
        <v>2342428.1450010831</v>
      </c>
    </row>
    <row r="38" spans="1:28">
      <c r="A38" s="96">
        <v>5</v>
      </c>
      <c r="B38" s="189" t="s">
        <v>237</v>
      </c>
      <c r="C38" s="190">
        <v>1</v>
      </c>
      <c r="D38" s="188">
        <v>7040</v>
      </c>
      <c r="E38" s="99">
        <v>1.8</v>
      </c>
      <c r="F38" s="188">
        <f t="shared" ref="F38:F48" si="65">+D38*E38</f>
        <v>12672</v>
      </c>
      <c r="G38" s="100">
        <v>0.05</v>
      </c>
      <c r="H38" s="188">
        <f t="shared" ref="H38:H39" si="66">F38*G38</f>
        <v>633.6</v>
      </c>
      <c r="I38" s="106"/>
      <c r="J38" s="100"/>
      <c r="K38" s="161"/>
      <c r="L38" s="100"/>
      <c r="M38" s="103"/>
      <c r="N38" s="188">
        <v>6350</v>
      </c>
      <c r="O38" s="100">
        <v>0.9</v>
      </c>
      <c r="P38" s="188">
        <f t="shared" ref="P38:P39" si="67">+F38*O38</f>
        <v>11404.800000000001</v>
      </c>
      <c r="Q38" s="102"/>
      <c r="R38" s="98">
        <f t="shared" ref="R38:R39" si="68">F38*Q38</f>
        <v>0</v>
      </c>
      <c r="S38" s="188">
        <f t="shared" ref="S38:S48" si="69">+F38+H38+I38+M38+P38+R38+N38</f>
        <v>31060.400000000001</v>
      </c>
      <c r="T38" s="98">
        <f t="shared" ref="T38:T48" si="70">S38*C38</f>
        <v>31060.400000000001</v>
      </c>
      <c r="U38" s="98">
        <f t="shared" ref="U38:U48" si="71">(((T38+(T38*14.0135/12/12)))*3/3/29.6)*30</f>
        <v>34543.655091497749</v>
      </c>
      <c r="V38" s="98">
        <f t="shared" ref="V38:V48" si="72">T38*2</f>
        <v>62120.800000000003</v>
      </c>
      <c r="W38" s="98">
        <f t="shared" ref="W38:W48" si="73">(T38*14.0135)/12</f>
        <v>36272.076283333336</v>
      </c>
      <c r="X38" s="98">
        <v>5000</v>
      </c>
      <c r="Y38" s="98">
        <f t="shared" ref="Y38:Y48" si="74">+X38*9*C38</f>
        <v>45000</v>
      </c>
      <c r="Z38" s="105">
        <f t="shared" ref="Z38:Z48" si="75">(T38*9)+U38+V38+W38+Y38</f>
        <v>457480.13137483114</v>
      </c>
      <c r="AA38" s="105">
        <f t="shared" ref="AA38:AA48" si="76">((T38*9)+U38+W38)*0.1725</f>
        <v>60436.984662158371</v>
      </c>
      <c r="AB38" s="105">
        <f t="shared" ref="AB38:AB48" si="77">Z38+AA38</f>
        <v>517917.11603698949</v>
      </c>
    </row>
    <row r="39" spans="1:28">
      <c r="A39" s="96">
        <v>6</v>
      </c>
      <c r="B39" s="189" t="s">
        <v>238</v>
      </c>
      <c r="C39" s="190">
        <v>1</v>
      </c>
      <c r="D39" s="188">
        <v>7040</v>
      </c>
      <c r="E39" s="99">
        <v>1.8</v>
      </c>
      <c r="F39" s="188">
        <f t="shared" si="65"/>
        <v>12672</v>
      </c>
      <c r="G39" s="100">
        <v>0.4</v>
      </c>
      <c r="H39" s="188">
        <f t="shared" si="66"/>
        <v>5068.8</v>
      </c>
      <c r="I39" s="106"/>
      <c r="J39" s="106"/>
      <c r="K39" s="106"/>
      <c r="L39" s="100"/>
      <c r="M39" s="103"/>
      <c r="N39" s="188">
        <v>6350</v>
      </c>
      <c r="O39" s="100">
        <v>0.6</v>
      </c>
      <c r="P39" s="188">
        <f t="shared" si="67"/>
        <v>7603.2</v>
      </c>
      <c r="Q39" s="102"/>
      <c r="R39" s="98">
        <f t="shared" si="68"/>
        <v>0</v>
      </c>
      <c r="S39" s="188">
        <f t="shared" si="69"/>
        <v>31694</v>
      </c>
      <c r="T39" s="98">
        <f t="shared" si="70"/>
        <v>31694</v>
      </c>
      <c r="U39" s="98">
        <f t="shared" si="71"/>
        <v>35248.30988879504</v>
      </c>
      <c r="V39" s="98">
        <f t="shared" si="72"/>
        <v>63388</v>
      </c>
      <c r="W39" s="98">
        <f t="shared" si="73"/>
        <v>37011.989083333334</v>
      </c>
      <c r="X39" s="98">
        <v>5000</v>
      </c>
      <c r="Y39" s="98">
        <f t="shared" si="74"/>
        <v>45000</v>
      </c>
      <c r="Z39" s="105">
        <f t="shared" si="75"/>
        <v>465894.29897212837</v>
      </c>
      <c r="AA39" s="105">
        <f t="shared" si="76"/>
        <v>61669.83657269214</v>
      </c>
      <c r="AB39" s="105">
        <f t="shared" si="77"/>
        <v>527564.13554482046</v>
      </c>
    </row>
    <row r="40" spans="1:28">
      <c r="A40" s="96">
        <v>7</v>
      </c>
      <c r="B40" s="191" t="s">
        <v>239</v>
      </c>
      <c r="C40" s="190">
        <v>1</v>
      </c>
      <c r="D40" s="188">
        <v>7040</v>
      </c>
      <c r="E40" s="190">
        <v>1.8</v>
      </c>
      <c r="F40" s="188">
        <f t="shared" si="65"/>
        <v>12672</v>
      </c>
      <c r="G40" s="100"/>
      <c r="H40" s="188"/>
      <c r="I40" s="106"/>
      <c r="J40" s="100"/>
      <c r="K40" s="161">
        <f>F40*J40</f>
        <v>0</v>
      </c>
      <c r="L40" s="100"/>
      <c r="M40" s="103"/>
      <c r="N40" s="188">
        <v>6350</v>
      </c>
      <c r="O40" s="100"/>
      <c r="P40" s="188">
        <f>3800+2000</f>
        <v>5800</v>
      </c>
      <c r="Q40" s="102"/>
      <c r="R40" s="98">
        <f>F40*Q40</f>
        <v>0</v>
      </c>
      <c r="S40" s="188">
        <f t="shared" si="69"/>
        <v>24822</v>
      </c>
      <c r="T40" s="98">
        <f t="shared" si="70"/>
        <v>24822</v>
      </c>
      <c r="U40" s="98">
        <f t="shared" si="71"/>
        <v>27605.652428209458</v>
      </c>
      <c r="V40" s="98">
        <f t="shared" si="72"/>
        <v>49644</v>
      </c>
      <c r="W40" s="98">
        <f t="shared" si="73"/>
        <v>28986.924750000002</v>
      </c>
      <c r="X40" s="98">
        <v>5000</v>
      </c>
      <c r="Y40" s="98">
        <f t="shared" si="74"/>
        <v>45000</v>
      </c>
      <c r="Z40" s="105">
        <f t="shared" si="75"/>
        <v>374634.57717820944</v>
      </c>
      <c r="AA40" s="105">
        <f t="shared" si="76"/>
        <v>48298.374563241123</v>
      </c>
      <c r="AB40" s="105">
        <f t="shared" si="77"/>
        <v>422932.95174145058</v>
      </c>
    </row>
    <row r="41" spans="1:28">
      <c r="A41" s="96">
        <v>8</v>
      </c>
      <c r="B41" s="191" t="s">
        <v>240</v>
      </c>
      <c r="C41" s="190">
        <v>1</v>
      </c>
      <c r="D41" s="188">
        <v>7040</v>
      </c>
      <c r="E41" s="109">
        <v>1.8</v>
      </c>
      <c r="F41" s="188">
        <f t="shared" si="65"/>
        <v>12672</v>
      </c>
      <c r="G41" s="100"/>
      <c r="H41" s="188"/>
      <c r="I41" s="106"/>
      <c r="J41" s="106"/>
      <c r="K41" s="106"/>
      <c r="L41" s="100"/>
      <c r="M41" s="103"/>
      <c r="N41" s="188">
        <v>6350</v>
      </c>
      <c r="O41" s="100"/>
      <c r="P41" s="188">
        <f>2500+2000</f>
        <v>4500</v>
      </c>
      <c r="Q41" s="102"/>
      <c r="R41" s="98">
        <f>F41*Q41</f>
        <v>0</v>
      </c>
      <c r="S41" s="188">
        <f t="shared" si="69"/>
        <v>23522</v>
      </c>
      <c r="T41" s="98">
        <f t="shared" si="70"/>
        <v>23522</v>
      </c>
      <c r="U41" s="98">
        <f t="shared" si="71"/>
        <v>26159.864491835586</v>
      </c>
      <c r="V41" s="98">
        <f t="shared" si="72"/>
        <v>47044</v>
      </c>
      <c r="W41" s="98">
        <f t="shared" si="73"/>
        <v>27468.795583333336</v>
      </c>
      <c r="X41" s="98">
        <v>5000</v>
      </c>
      <c r="Y41" s="98">
        <f t="shared" si="74"/>
        <v>45000</v>
      </c>
      <c r="Z41" s="105">
        <f t="shared" si="75"/>
        <v>357370.66007516894</v>
      </c>
      <c r="AA41" s="105">
        <f t="shared" si="76"/>
        <v>45768.848862966639</v>
      </c>
      <c r="AB41" s="105">
        <f t="shared" si="77"/>
        <v>403139.50893813558</v>
      </c>
    </row>
    <row r="42" spans="1:28">
      <c r="A42" s="96">
        <v>9</v>
      </c>
      <c r="B42" s="191" t="s">
        <v>241</v>
      </c>
      <c r="C42" s="190">
        <v>1</v>
      </c>
      <c r="D42" s="188">
        <v>7040</v>
      </c>
      <c r="E42" s="109">
        <v>1.2</v>
      </c>
      <c r="F42" s="188">
        <f t="shared" si="65"/>
        <v>8448</v>
      </c>
      <c r="G42" s="100"/>
      <c r="H42" s="188"/>
      <c r="I42" s="106"/>
      <c r="J42" s="106"/>
      <c r="K42" s="106"/>
      <c r="L42" s="100"/>
      <c r="M42" s="103"/>
      <c r="N42" s="188"/>
      <c r="O42" s="100"/>
      <c r="P42" s="188">
        <f>3000+1000</f>
        <v>4000</v>
      </c>
      <c r="Q42" s="100">
        <v>0.25</v>
      </c>
      <c r="R42" s="98">
        <f>F42*Q42</f>
        <v>2112</v>
      </c>
      <c r="S42" s="188">
        <f t="shared" si="69"/>
        <v>14560</v>
      </c>
      <c r="T42" s="98">
        <f t="shared" si="70"/>
        <v>14560</v>
      </c>
      <c r="U42" s="98">
        <f t="shared" si="71"/>
        <v>16192.824887387389</v>
      </c>
      <c r="V42" s="98">
        <f t="shared" si="72"/>
        <v>29120</v>
      </c>
      <c r="W42" s="98">
        <f t="shared" si="73"/>
        <v>17003.046666666665</v>
      </c>
      <c r="X42" s="98">
        <v>5000</v>
      </c>
      <c r="Y42" s="98">
        <f t="shared" si="74"/>
        <v>45000</v>
      </c>
      <c r="Z42" s="105">
        <f t="shared" si="75"/>
        <v>238355.87155405406</v>
      </c>
      <c r="AA42" s="105">
        <f t="shared" si="76"/>
        <v>28330.687843074324</v>
      </c>
      <c r="AB42" s="105">
        <f t="shared" si="77"/>
        <v>266686.55939712841</v>
      </c>
    </row>
    <row r="43" spans="1:28">
      <c r="A43" s="96">
        <v>10</v>
      </c>
      <c r="B43" s="191" t="s">
        <v>242</v>
      </c>
      <c r="C43" s="190">
        <v>26</v>
      </c>
      <c r="D43" s="188">
        <v>7040</v>
      </c>
      <c r="E43" s="109">
        <v>1.7</v>
      </c>
      <c r="F43" s="188">
        <f t="shared" si="65"/>
        <v>11968</v>
      </c>
      <c r="G43" s="100"/>
      <c r="H43" s="188"/>
      <c r="I43" s="106"/>
      <c r="J43" s="106"/>
      <c r="K43" s="106"/>
      <c r="L43" s="100"/>
      <c r="M43" s="103"/>
      <c r="N43" s="188">
        <v>6350</v>
      </c>
      <c r="O43" s="100"/>
      <c r="P43" s="188">
        <f>16000+4500</f>
        <v>20500</v>
      </c>
      <c r="Q43" s="100"/>
      <c r="R43" s="98"/>
      <c r="S43" s="188">
        <f t="shared" si="69"/>
        <v>38818</v>
      </c>
      <c r="T43" s="98">
        <f t="shared" si="70"/>
        <v>1009268</v>
      </c>
      <c r="U43" s="98">
        <f t="shared" si="71"/>
        <v>1122451.9222832206</v>
      </c>
      <c r="V43" s="98">
        <f t="shared" si="72"/>
        <v>2018536</v>
      </c>
      <c r="W43" s="98">
        <f t="shared" si="73"/>
        <v>1178614.7598333333</v>
      </c>
      <c r="X43" s="98">
        <v>5000</v>
      </c>
      <c r="Y43" s="98">
        <f t="shared" si="74"/>
        <v>1170000</v>
      </c>
      <c r="Z43" s="105">
        <f t="shared" si="75"/>
        <v>14573014.682116555</v>
      </c>
      <c r="AA43" s="105">
        <f t="shared" si="76"/>
        <v>1963822.5726651056</v>
      </c>
      <c r="AB43" s="105">
        <f t="shared" si="77"/>
        <v>16536837.25478166</v>
      </c>
    </row>
    <row r="44" spans="1:28">
      <c r="A44" s="96">
        <v>11</v>
      </c>
      <c r="B44" s="191" t="s">
        <v>243</v>
      </c>
      <c r="C44" s="190">
        <v>2</v>
      </c>
      <c r="D44" s="188">
        <v>7040</v>
      </c>
      <c r="E44" s="192">
        <v>1.7</v>
      </c>
      <c r="F44" s="188">
        <f t="shared" si="65"/>
        <v>11968</v>
      </c>
      <c r="G44" s="161"/>
      <c r="H44" s="188"/>
      <c r="I44" s="161"/>
      <c r="J44" s="161"/>
      <c r="K44" s="161"/>
      <c r="L44" s="100"/>
      <c r="M44" s="103"/>
      <c r="N44" s="188">
        <v>6350</v>
      </c>
      <c r="O44" s="100"/>
      <c r="P44" s="188">
        <f>16000+2000</f>
        <v>18000</v>
      </c>
      <c r="Q44" s="100"/>
      <c r="R44" s="98"/>
      <c r="S44" s="188">
        <f t="shared" si="69"/>
        <v>36318</v>
      </c>
      <c r="T44" s="98">
        <f t="shared" si="70"/>
        <v>72636</v>
      </c>
      <c r="U44" s="98">
        <f t="shared" si="71"/>
        <v>80781.732728040544</v>
      </c>
      <c r="V44" s="98">
        <f t="shared" si="72"/>
        <v>145272</v>
      </c>
      <c r="W44" s="98">
        <f t="shared" si="73"/>
        <v>84823.715500000006</v>
      </c>
      <c r="X44" s="98">
        <v>5000</v>
      </c>
      <c r="Y44" s="98">
        <f t="shared" si="74"/>
        <v>90000</v>
      </c>
      <c r="Z44" s="105">
        <f t="shared" si="75"/>
        <v>1054601.4482280407</v>
      </c>
      <c r="AA44" s="105">
        <f t="shared" si="76"/>
        <v>141334.329819337</v>
      </c>
      <c r="AB44" s="105">
        <f t="shared" si="77"/>
        <v>1195935.7780473777</v>
      </c>
    </row>
    <row r="45" spans="1:28">
      <c r="A45" s="96">
        <v>12</v>
      </c>
      <c r="B45" s="193" t="s">
        <v>244</v>
      </c>
      <c r="C45" s="190">
        <v>1</v>
      </c>
      <c r="D45" s="188">
        <v>7040</v>
      </c>
      <c r="E45" s="192">
        <v>1.4</v>
      </c>
      <c r="F45" s="188">
        <f t="shared" si="65"/>
        <v>9856</v>
      </c>
      <c r="G45" s="100"/>
      <c r="H45" s="188"/>
      <c r="I45" s="106"/>
      <c r="J45" s="106"/>
      <c r="K45" s="106"/>
      <c r="L45" s="100"/>
      <c r="M45" s="103"/>
      <c r="N45" s="188">
        <v>6350</v>
      </c>
      <c r="O45" s="100"/>
      <c r="P45" s="188">
        <f>12000+3000</f>
        <v>15000</v>
      </c>
      <c r="Q45" s="100"/>
      <c r="R45" s="98"/>
      <c r="S45" s="188">
        <f t="shared" si="69"/>
        <v>31206</v>
      </c>
      <c r="T45" s="98">
        <f t="shared" si="70"/>
        <v>31206</v>
      </c>
      <c r="U45" s="98">
        <f t="shared" si="71"/>
        <v>34705.583340371617</v>
      </c>
      <c r="V45" s="98">
        <f t="shared" si="72"/>
        <v>62412</v>
      </c>
      <c r="W45" s="98">
        <f t="shared" si="73"/>
        <v>36442.106749999999</v>
      </c>
      <c r="X45" s="98">
        <v>5000</v>
      </c>
      <c r="Y45" s="98">
        <f t="shared" si="74"/>
        <v>45000</v>
      </c>
      <c r="Z45" s="105">
        <f t="shared" si="75"/>
        <v>459413.69009037159</v>
      </c>
      <c r="AA45" s="105">
        <f t="shared" si="76"/>
        <v>60720.291540589096</v>
      </c>
      <c r="AB45" s="105">
        <f t="shared" si="77"/>
        <v>520133.98163096071</v>
      </c>
    </row>
    <row r="46" spans="1:28">
      <c r="A46" s="96">
        <v>13</v>
      </c>
      <c r="B46" s="193" t="s">
        <v>245</v>
      </c>
      <c r="C46" s="190">
        <v>1</v>
      </c>
      <c r="D46" s="188">
        <v>7040</v>
      </c>
      <c r="E46" s="192">
        <v>1.4</v>
      </c>
      <c r="F46" s="188">
        <f t="shared" si="65"/>
        <v>9856</v>
      </c>
      <c r="G46" s="100"/>
      <c r="H46" s="188"/>
      <c r="I46" s="106"/>
      <c r="J46" s="106"/>
      <c r="K46" s="106"/>
      <c r="L46" s="100"/>
      <c r="M46" s="103"/>
      <c r="N46" s="188">
        <v>6350</v>
      </c>
      <c r="O46" s="100"/>
      <c r="P46" s="188">
        <f>19000+2000</f>
        <v>21000</v>
      </c>
      <c r="Q46" s="100"/>
      <c r="R46" s="98"/>
      <c r="S46" s="188">
        <f t="shared" si="69"/>
        <v>37206</v>
      </c>
      <c r="T46" s="98">
        <f t="shared" si="70"/>
        <v>37206</v>
      </c>
      <c r="U46" s="98">
        <f t="shared" si="71"/>
        <v>41378.450739020271</v>
      </c>
      <c r="V46" s="98">
        <f t="shared" si="72"/>
        <v>74412</v>
      </c>
      <c r="W46" s="98">
        <f t="shared" si="73"/>
        <v>43448.856749999999</v>
      </c>
      <c r="X46" s="98">
        <v>5000</v>
      </c>
      <c r="Y46" s="98">
        <f t="shared" si="74"/>
        <v>45000</v>
      </c>
      <c r="Z46" s="105">
        <f t="shared" si="75"/>
        <v>539093.30748902028</v>
      </c>
      <c r="AA46" s="105">
        <f t="shared" si="76"/>
        <v>72395.025541855983</v>
      </c>
      <c r="AB46" s="105">
        <f t="shared" si="77"/>
        <v>611488.33303087624</v>
      </c>
    </row>
    <row r="47" spans="1:28">
      <c r="A47" s="96">
        <v>14</v>
      </c>
      <c r="B47" s="193" t="s">
        <v>246</v>
      </c>
      <c r="C47" s="190">
        <v>37</v>
      </c>
      <c r="D47" s="188">
        <v>7040</v>
      </c>
      <c r="E47" s="192">
        <v>1.2</v>
      </c>
      <c r="F47" s="188">
        <f t="shared" si="65"/>
        <v>8448</v>
      </c>
      <c r="G47" s="100"/>
      <c r="H47" s="188"/>
      <c r="I47" s="106"/>
      <c r="J47" s="106"/>
      <c r="K47" s="106"/>
      <c r="L47" s="100"/>
      <c r="M47" s="103"/>
      <c r="N47" s="188">
        <v>6350</v>
      </c>
      <c r="O47" s="100"/>
      <c r="P47" s="188">
        <f>19000+5000</f>
        <v>24000</v>
      </c>
      <c r="Q47" s="100"/>
      <c r="R47" s="98"/>
      <c r="S47" s="188">
        <f t="shared" si="69"/>
        <v>38798</v>
      </c>
      <c r="T47" s="98">
        <f t="shared" si="70"/>
        <v>1435526</v>
      </c>
      <c r="U47" s="98">
        <f t="shared" si="71"/>
        <v>1596512.4408854162</v>
      </c>
      <c r="V47" s="98">
        <f t="shared" si="72"/>
        <v>2871052</v>
      </c>
      <c r="W47" s="98">
        <f t="shared" si="73"/>
        <v>1676395.3000833334</v>
      </c>
      <c r="X47" s="98">
        <v>5000</v>
      </c>
      <c r="Y47" s="98">
        <f t="shared" si="74"/>
        <v>1665000</v>
      </c>
      <c r="Z47" s="105">
        <f t="shared" si="75"/>
        <v>20728693.740968749</v>
      </c>
      <c r="AA47" s="105">
        <f t="shared" si="76"/>
        <v>2793230.7003171095</v>
      </c>
      <c r="AB47" s="105">
        <f t="shared" si="77"/>
        <v>23521924.44128586</v>
      </c>
    </row>
    <row r="48" spans="1:28">
      <c r="A48" s="96">
        <v>15</v>
      </c>
      <c r="B48" s="193" t="s">
        <v>247</v>
      </c>
      <c r="C48" s="190">
        <v>5</v>
      </c>
      <c r="D48" s="188">
        <v>7040</v>
      </c>
      <c r="E48" s="192">
        <v>1.2</v>
      </c>
      <c r="F48" s="188">
        <f t="shared" si="65"/>
        <v>8448</v>
      </c>
      <c r="G48" s="100"/>
      <c r="H48" s="188"/>
      <c r="I48" s="106"/>
      <c r="J48" s="106"/>
      <c r="K48" s="106"/>
      <c r="L48" s="100"/>
      <c r="M48" s="103"/>
      <c r="N48" s="188"/>
      <c r="O48" s="100">
        <v>0.3</v>
      </c>
      <c r="P48" s="188">
        <f>F48*O48+2000</f>
        <v>4534.3999999999996</v>
      </c>
      <c r="Q48" s="100">
        <v>0.5</v>
      </c>
      <c r="R48" s="98">
        <f>SUM(Q48*F48)</f>
        <v>4224</v>
      </c>
      <c r="S48" s="188">
        <f t="shared" si="69"/>
        <v>17206.400000000001</v>
      </c>
      <c r="T48" s="98">
        <f t="shared" si="70"/>
        <v>86032</v>
      </c>
      <c r="U48" s="98">
        <f t="shared" si="71"/>
        <v>95680.021340090083</v>
      </c>
      <c r="V48" s="98">
        <f t="shared" si="72"/>
        <v>172064</v>
      </c>
      <c r="W48" s="98">
        <f t="shared" si="73"/>
        <v>100467.45266666666</v>
      </c>
      <c r="X48" s="98">
        <v>5000</v>
      </c>
      <c r="Y48" s="98">
        <f t="shared" si="74"/>
        <v>225000</v>
      </c>
      <c r="Z48" s="105">
        <f t="shared" si="75"/>
        <v>1367499.4740067567</v>
      </c>
      <c r="AA48" s="105">
        <f t="shared" si="76"/>
        <v>167400.11926616554</v>
      </c>
      <c r="AB48" s="105">
        <f t="shared" si="77"/>
        <v>1534899.5932729221</v>
      </c>
    </row>
    <row r="49" spans="1:28">
      <c r="A49" s="94"/>
      <c r="B49" s="94" t="s">
        <v>196</v>
      </c>
      <c r="C49" s="177">
        <f>SUM(C38:C48)</f>
        <v>77</v>
      </c>
      <c r="D49" s="133">
        <f t="shared" ref="D49" si="78">SUM(D38:D48)</f>
        <v>77440</v>
      </c>
      <c r="E49" s="177"/>
      <c r="F49" s="133">
        <f t="shared" ref="F49" si="79">SUM(F38:F48)</f>
        <v>119680</v>
      </c>
      <c r="G49" s="177"/>
      <c r="H49" s="133">
        <f t="shared" ref="H49" si="80">SUM(H38:H48)</f>
        <v>5702.4000000000005</v>
      </c>
      <c r="I49" s="177">
        <f t="shared" ref="I49" si="81">SUM(I38:I48)</f>
        <v>0</v>
      </c>
      <c r="J49" s="177">
        <f t="shared" ref="J49" si="82">SUM(J38:J48)</f>
        <v>0</v>
      </c>
      <c r="K49" s="177">
        <f t="shared" ref="K49" si="83">SUM(K38:K48)</f>
        <v>0</v>
      </c>
      <c r="L49" s="177">
        <f t="shared" ref="L49" si="84">SUM(L38:L48)</f>
        <v>0</v>
      </c>
      <c r="M49" s="177">
        <f t="shared" ref="M49" si="85">SUM(M38:M48)</f>
        <v>0</v>
      </c>
      <c r="N49" s="133">
        <f t="shared" ref="N49" si="86">SUM(N38:N48)</f>
        <v>57150</v>
      </c>
      <c r="O49" s="177"/>
      <c r="P49" s="133">
        <f t="shared" ref="P49" si="87">SUM(P38:P48)</f>
        <v>136342.39999999999</v>
      </c>
      <c r="Q49" s="177"/>
      <c r="R49" s="133">
        <f t="shared" ref="R49" si="88">SUM(R38:R48)</f>
        <v>6336</v>
      </c>
      <c r="S49" s="133">
        <f t="shared" ref="S49" si="89">SUM(S38:S48)</f>
        <v>325210.80000000005</v>
      </c>
      <c r="T49" s="133">
        <f t="shared" ref="T49" si="90">SUM(T38:T48)</f>
        <v>2797532.4</v>
      </c>
      <c r="U49" s="133">
        <f t="shared" ref="U49" si="91">SUM(U38:U48)</f>
        <v>3111260.4581038849</v>
      </c>
      <c r="V49" s="133">
        <f t="shared" ref="V49" si="92">SUM(V38:V48)</f>
        <v>5595064.7999999998</v>
      </c>
      <c r="W49" s="133">
        <f t="shared" ref="W49" si="93">SUM(W38:W48)</f>
        <v>3266935.0239500003</v>
      </c>
      <c r="X49" s="133">
        <f t="shared" ref="X49" si="94">SUM(X38:X48)</f>
        <v>55000</v>
      </c>
      <c r="Y49" s="133">
        <f t="shared" ref="Y49" si="95">SUM(Y38:Y48)</f>
        <v>3465000</v>
      </c>
      <c r="Z49" s="133">
        <f t="shared" ref="Z49" si="96">SUM(Z38:Z48)</f>
        <v>40616051.882053882</v>
      </c>
      <c r="AA49" s="133">
        <f t="shared" ref="AA49" si="97">SUM(AA38:AA48)</f>
        <v>5443407.7716542948</v>
      </c>
      <c r="AB49" s="133">
        <f t="shared" ref="AB49" si="98">SUM(AB38:AB48)</f>
        <v>46059459.65370819</v>
      </c>
    </row>
    <row r="50" spans="1:28">
      <c r="A50" s="94"/>
      <c r="B50" s="94" t="s">
        <v>183</v>
      </c>
      <c r="C50" s="177">
        <f>C37+C49</f>
        <v>81</v>
      </c>
      <c r="D50" s="133">
        <f t="shared" ref="D50" si="99">D37+D49</f>
        <v>105600</v>
      </c>
      <c r="E50" s="177">
        <f t="shared" ref="E50" si="100">E37+E49</f>
        <v>0</v>
      </c>
      <c r="F50" s="133">
        <f t="shared" ref="F50" si="101">F37+F49</f>
        <v>190361.59999999998</v>
      </c>
      <c r="G50" s="177">
        <f t="shared" ref="G50" si="102">G37+G49</f>
        <v>0</v>
      </c>
      <c r="H50" s="133">
        <f t="shared" ref="H50" si="103">H37+H49</f>
        <v>23372.799999999999</v>
      </c>
      <c r="I50" s="177">
        <f t="shared" ref="I50" si="104">I37+I49</f>
        <v>0</v>
      </c>
      <c r="J50" s="177">
        <f t="shared" ref="J50" si="105">J37+J49</f>
        <v>0</v>
      </c>
      <c r="K50" s="177">
        <f t="shared" ref="K50" si="106">K37+K49</f>
        <v>0</v>
      </c>
      <c r="L50" s="177">
        <f t="shared" ref="L50" si="107">L37+L49</f>
        <v>0</v>
      </c>
      <c r="M50" s="177">
        <f t="shared" ref="M50" si="108">M37+M49</f>
        <v>0</v>
      </c>
      <c r="N50" s="133">
        <f t="shared" ref="N50" si="109">N37+N49</f>
        <v>82550</v>
      </c>
      <c r="O50" s="177">
        <f t="shared" ref="O50" si="110">O37+O49</f>
        <v>0</v>
      </c>
      <c r="P50" s="133">
        <f t="shared" ref="P50" si="111">P37+P49</f>
        <v>164615.03999999998</v>
      </c>
      <c r="Q50" s="177">
        <f t="shared" ref="Q50" si="112">Q37+Q49</f>
        <v>0</v>
      </c>
      <c r="R50" s="133">
        <f t="shared" ref="R50" si="113">R37+R49</f>
        <v>6336</v>
      </c>
      <c r="S50" s="133">
        <f t="shared" ref="S50" si="114">S37+S49</f>
        <v>467235.44000000006</v>
      </c>
      <c r="T50" s="133">
        <f t="shared" ref="T50" si="115">T37+T49</f>
        <v>2939557.04</v>
      </c>
      <c r="U50" s="133">
        <f t="shared" ref="U50" si="116">U37+U49</f>
        <v>3269212.3897806867</v>
      </c>
      <c r="V50" s="133">
        <f t="shared" ref="V50" si="117">V37+V49</f>
        <v>5879114.0800000001</v>
      </c>
      <c r="W50" s="133">
        <f t="shared" ref="W50" si="118">W37+W49</f>
        <v>3432790.2150033335</v>
      </c>
      <c r="X50" s="133">
        <f t="shared" ref="X50" si="119">X37+X49</f>
        <v>75000</v>
      </c>
      <c r="Y50" s="133">
        <f t="shared" ref="Y50" si="120">Y37+Y49</f>
        <v>3645000</v>
      </c>
      <c r="Z50" s="133">
        <f t="shared" ref="Z50" si="121">Z37+Z49</f>
        <v>42682130.044784017</v>
      </c>
      <c r="AA50" s="133">
        <f t="shared" ref="AA50" si="122">AA37+AA49</f>
        <v>5719757.7539252434</v>
      </c>
      <c r="AB50" s="133">
        <f t="shared" ref="AB50" si="123">AB37+AB49</f>
        <v>48401887.798709273</v>
      </c>
    </row>
    <row r="51" spans="1:28">
      <c r="A51" s="94"/>
      <c r="B51" s="123" t="s">
        <v>211</v>
      </c>
      <c r="C51" s="177"/>
      <c r="D51" s="133"/>
      <c r="E51" s="177"/>
      <c r="F51" s="133"/>
      <c r="G51" s="177"/>
      <c r="H51" s="133"/>
      <c r="I51" s="177"/>
      <c r="J51" s="177"/>
      <c r="K51" s="177"/>
      <c r="L51" s="177"/>
      <c r="M51" s="177"/>
      <c r="N51" s="133"/>
      <c r="O51" s="177"/>
      <c r="P51" s="133"/>
      <c r="Q51" s="177"/>
      <c r="R51" s="133"/>
      <c r="S51" s="133"/>
      <c r="T51" s="133"/>
      <c r="U51" s="133"/>
      <c r="V51" s="133"/>
      <c r="W51" s="133"/>
      <c r="X51" s="133"/>
      <c r="Y51" s="133"/>
      <c r="Z51" s="133">
        <f>+Z50-Z31</f>
        <v>3645000</v>
      </c>
      <c r="AA51" s="133">
        <f t="shared" ref="AA51:AB51" si="124">+AA50-AA31</f>
        <v>0</v>
      </c>
      <c r="AB51" s="133">
        <f t="shared" si="124"/>
        <v>3645000</v>
      </c>
    </row>
  </sheetData>
  <mergeCells count="25">
    <mergeCell ref="A13:AB13"/>
    <mergeCell ref="A32:AB32"/>
    <mergeCell ref="AB9:AB10"/>
    <mergeCell ref="G10:H10"/>
    <mergeCell ref="J10:K10"/>
    <mergeCell ref="L10:M10"/>
    <mergeCell ref="O10:P10"/>
    <mergeCell ref="Q10:R10"/>
    <mergeCell ref="T9:T10"/>
    <mergeCell ref="U9:U10"/>
    <mergeCell ref="V9:V10"/>
    <mergeCell ref="W9:W10"/>
    <mergeCell ref="Z9:Z10"/>
    <mergeCell ref="AA9:AA10"/>
    <mergeCell ref="A1:S1"/>
    <mergeCell ref="A7:AB7"/>
    <mergeCell ref="A9:A11"/>
    <mergeCell ref="B9:B11"/>
    <mergeCell ref="C9:C11"/>
    <mergeCell ref="D9:D11"/>
    <mergeCell ref="E9:E11"/>
    <mergeCell ref="F9:F11"/>
    <mergeCell ref="G9:R9"/>
    <mergeCell ref="S9:S10"/>
    <mergeCell ref="X9:Y10"/>
  </mergeCells>
  <phoneticPr fontId="4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82382-7469-4042-BDE2-DE262729DB87}">
  <sheetPr>
    <tabColor rgb="FF92D050"/>
    <pageSetUpPr fitToPage="1"/>
  </sheetPr>
  <dimension ref="A1:AD45"/>
  <sheetViews>
    <sheetView topLeftCell="A23" workbookViewId="0">
      <selection activeCell="B45" sqref="B45:W45"/>
    </sheetView>
  </sheetViews>
  <sheetFormatPr defaultColWidth="9.28515625" defaultRowHeight="12.75"/>
  <cols>
    <col min="1" max="1" width="3.28515625" style="15" bestFit="1" customWidth="1"/>
    <col min="2" max="2" width="22.7109375" style="15" customWidth="1"/>
    <col min="3" max="3" width="4.28515625" style="15" customWidth="1"/>
    <col min="4" max="4" width="7" style="15" customWidth="1"/>
    <col min="5" max="5" width="5.42578125" style="15" customWidth="1"/>
    <col min="6" max="6" width="7.7109375" style="15" customWidth="1"/>
    <col min="7" max="7" width="5.28515625" style="15" customWidth="1"/>
    <col min="8" max="8" width="7" style="15" customWidth="1"/>
    <col min="9" max="9" width="6.85546875" style="15" hidden="1" customWidth="1"/>
    <col min="10" max="10" width="5" style="15" hidden="1" customWidth="1"/>
    <col min="11" max="11" width="7.28515625" style="15" hidden="1" customWidth="1"/>
    <col min="12" max="12" width="6.42578125" style="15" hidden="1" customWidth="1"/>
    <col min="13" max="13" width="6.140625" style="15" hidden="1" customWidth="1"/>
    <col min="14" max="14" width="5.7109375" style="15" customWidth="1"/>
    <col min="15" max="15" width="7.42578125" style="15" customWidth="1"/>
    <col min="16" max="16" width="6.42578125" style="15" hidden="1" customWidth="1"/>
    <col min="17" max="17" width="5.7109375" style="15" hidden="1" customWidth="1"/>
    <col min="18" max="20" width="8.28515625" style="15" customWidth="1"/>
    <col min="21" max="21" width="10.140625" style="15" customWidth="1"/>
    <col min="22" max="22" width="8.28515625" style="15" customWidth="1"/>
    <col min="23" max="23" width="8.5703125" style="15" customWidth="1"/>
    <col min="24" max="24" width="6.42578125" style="15" bestFit="1" customWidth="1"/>
    <col min="25" max="25" width="9" style="15" customWidth="1"/>
    <col min="26" max="26" width="8.28515625" style="15" customWidth="1"/>
    <col min="27" max="28" width="9" style="15" customWidth="1"/>
    <col min="29" max="256" width="9.28515625" style="15"/>
    <col min="257" max="257" width="5" style="15" bestFit="1" customWidth="1"/>
    <col min="258" max="258" width="19.5703125" style="15" customWidth="1"/>
    <col min="259" max="259" width="9.7109375" style="15" customWidth="1"/>
    <col min="260" max="260" width="11" style="15" customWidth="1"/>
    <col min="261" max="262" width="7.42578125" style="15" customWidth="1"/>
    <col min="263" max="263" width="9.28515625" style="15"/>
    <col min="264" max="264" width="8.28515625" style="15" customWidth="1"/>
    <col min="265" max="265" width="11.5703125" style="15" customWidth="1"/>
    <col min="266" max="266" width="9.7109375" style="15" customWidth="1"/>
    <col min="267" max="267" width="9.42578125" style="15" customWidth="1"/>
    <col min="268" max="268" width="10.42578125" style="15" customWidth="1"/>
    <col min="269" max="270" width="0" style="15" hidden="1" customWidth="1"/>
    <col min="271" max="271" width="14.42578125" style="15" customWidth="1"/>
    <col min="272" max="272" width="12.7109375" style="15" customWidth="1"/>
    <col min="273" max="273" width="11.5703125" style="15" bestFit="1" customWidth="1"/>
    <col min="274" max="274" width="9.28515625" style="15"/>
    <col min="275" max="275" width="10.28515625" style="15" bestFit="1" customWidth="1"/>
    <col min="276" max="512" width="9.28515625" style="15"/>
    <col min="513" max="513" width="5" style="15" bestFit="1" customWidth="1"/>
    <col min="514" max="514" width="19.5703125" style="15" customWidth="1"/>
    <col min="515" max="515" width="9.7109375" style="15" customWidth="1"/>
    <col min="516" max="516" width="11" style="15" customWidth="1"/>
    <col min="517" max="518" width="7.42578125" style="15" customWidth="1"/>
    <col min="519" max="519" width="9.28515625" style="15"/>
    <col min="520" max="520" width="8.28515625" style="15" customWidth="1"/>
    <col min="521" max="521" width="11.5703125" style="15" customWidth="1"/>
    <col min="522" max="522" width="9.7109375" style="15" customWidth="1"/>
    <col min="523" max="523" width="9.42578125" style="15" customWidth="1"/>
    <col min="524" max="524" width="10.42578125" style="15" customWidth="1"/>
    <col min="525" max="526" width="0" style="15" hidden="1" customWidth="1"/>
    <col min="527" max="527" width="14.42578125" style="15" customWidth="1"/>
    <col min="528" max="528" width="12.7109375" style="15" customWidth="1"/>
    <col min="529" max="529" width="11.5703125" style="15" bestFit="1" customWidth="1"/>
    <col min="530" max="530" width="9.28515625" style="15"/>
    <col min="531" max="531" width="10.28515625" style="15" bestFit="1" customWidth="1"/>
    <col min="532" max="768" width="9.28515625" style="15"/>
    <col min="769" max="769" width="5" style="15" bestFit="1" customWidth="1"/>
    <col min="770" max="770" width="19.5703125" style="15" customWidth="1"/>
    <col min="771" max="771" width="9.7109375" style="15" customWidth="1"/>
    <col min="772" max="772" width="11" style="15" customWidth="1"/>
    <col min="773" max="774" width="7.42578125" style="15" customWidth="1"/>
    <col min="775" max="775" width="9.28515625" style="15"/>
    <col min="776" max="776" width="8.28515625" style="15" customWidth="1"/>
    <col min="777" max="777" width="11.5703125" style="15" customWidth="1"/>
    <col min="778" max="778" width="9.7109375" style="15" customWidth="1"/>
    <col min="779" max="779" width="9.42578125" style="15" customWidth="1"/>
    <col min="780" max="780" width="10.42578125" style="15" customWidth="1"/>
    <col min="781" max="782" width="0" style="15" hidden="1" customWidth="1"/>
    <col min="783" max="783" width="14.42578125" style="15" customWidth="1"/>
    <col min="784" max="784" width="12.7109375" style="15" customWidth="1"/>
    <col min="785" max="785" width="11.5703125" style="15" bestFit="1" customWidth="1"/>
    <col min="786" max="786" width="9.28515625" style="15"/>
    <col min="787" max="787" width="10.28515625" style="15" bestFit="1" customWidth="1"/>
    <col min="788" max="1024" width="9.28515625" style="15"/>
    <col min="1025" max="1025" width="5" style="15" bestFit="1" customWidth="1"/>
    <col min="1026" max="1026" width="19.5703125" style="15" customWidth="1"/>
    <col min="1027" max="1027" width="9.7109375" style="15" customWidth="1"/>
    <col min="1028" max="1028" width="11" style="15" customWidth="1"/>
    <col min="1029" max="1030" width="7.42578125" style="15" customWidth="1"/>
    <col min="1031" max="1031" width="9.28515625" style="15"/>
    <col min="1032" max="1032" width="8.28515625" style="15" customWidth="1"/>
    <col min="1033" max="1033" width="11.5703125" style="15" customWidth="1"/>
    <col min="1034" max="1034" width="9.7109375" style="15" customWidth="1"/>
    <col min="1035" max="1035" width="9.42578125" style="15" customWidth="1"/>
    <col min="1036" max="1036" width="10.42578125" style="15" customWidth="1"/>
    <col min="1037" max="1038" width="0" style="15" hidden="1" customWidth="1"/>
    <col min="1039" max="1039" width="14.42578125" style="15" customWidth="1"/>
    <col min="1040" max="1040" width="12.7109375" style="15" customWidth="1"/>
    <col min="1041" max="1041" width="11.5703125" style="15" bestFit="1" customWidth="1"/>
    <col min="1042" max="1042" width="9.28515625" style="15"/>
    <col min="1043" max="1043" width="10.28515625" style="15" bestFit="1" customWidth="1"/>
    <col min="1044" max="1280" width="9.28515625" style="15"/>
    <col min="1281" max="1281" width="5" style="15" bestFit="1" customWidth="1"/>
    <col min="1282" max="1282" width="19.5703125" style="15" customWidth="1"/>
    <col min="1283" max="1283" width="9.7109375" style="15" customWidth="1"/>
    <col min="1284" max="1284" width="11" style="15" customWidth="1"/>
    <col min="1285" max="1286" width="7.42578125" style="15" customWidth="1"/>
    <col min="1287" max="1287" width="9.28515625" style="15"/>
    <col min="1288" max="1288" width="8.28515625" style="15" customWidth="1"/>
    <col min="1289" max="1289" width="11.5703125" style="15" customWidth="1"/>
    <col min="1290" max="1290" width="9.7109375" style="15" customWidth="1"/>
    <col min="1291" max="1291" width="9.42578125" style="15" customWidth="1"/>
    <col min="1292" max="1292" width="10.42578125" style="15" customWidth="1"/>
    <col min="1293" max="1294" width="0" style="15" hidden="1" customWidth="1"/>
    <col min="1295" max="1295" width="14.42578125" style="15" customWidth="1"/>
    <col min="1296" max="1296" width="12.7109375" style="15" customWidth="1"/>
    <col min="1297" max="1297" width="11.5703125" style="15" bestFit="1" customWidth="1"/>
    <col min="1298" max="1298" width="9.28515625" style="15"/>
    <col min="1299" max="1299" width="10.28515625" style="15" bestFit="1" customWidth="1"/>
    <col min="1300" max="1536" width="9.28515625" style="15"/>
    <col min="1537" max="1537" width="5" style="15" bestFit="1" customWidth="1"/>
    <col min="1538" max="1538" width="19.5703125" style="15" customWidth="1"/>
    <col min="1539" max="1539" width="9.7109375" style="15" customWidth="1"/>
    <col min="1540" max="1540" width="11" style="15" customWidth="1"/>
    <col min="1541" max="1542" width="7.42578125" style="15" customWidth="1"/>
    <col min="1543" max="1543" width="9.28515625" style="15"/>
    <col min="1544" max="1544" width="8.28515625" style="15" customWidth="1"/>
    <col min="1545" max="1545" width="11.5703125" style="15" customWidth="1"/>
    <col min="1546" max="1546" width="9.7109375" style="15" customWidth="1"/>
    <col min="1547" max="1547" width="9.42578125" style="15" customWidth="1"/>
    <col min="1548" max="1548" width="10.42578125" style="15" customWidth="1"/>
    <col min="1549" max="1550" width="0" style="15" hidden="1" customWidth="1"/>
    <col min="1551" max="1551" width="14.42578125" style="15" customWidth="1"/>
    <col min="1552" max="1552" width="12.7109375" style="15" customWidth="1"/>
    <col min="1553" max="1553" width="11.5703125" style="15" bestFit="1" customWidth="1"/>
    <col min="1554" max="1554" width="9.28515625" style="15"/>
    <col min="1555" max="1555" width="10.28515625" style="15" bestFit="1" customWidth="1"/>
    <col min="1556" max="1792" width="9.28515625" style="15"/>
    <col min="1793" max="1793" width="5" style="15" bestFit="1" customWidth="1"/>
    <col min="1794" max="1794" width="19.5703125" style="15" customWidth="1"/>
    <col min="1795" max="1795" width="9.7109375" style="15" customWidth="1"/>
    <col min="1796" max="1796" width="11" style="15" customWidth="1"/>
    <col min="1797" max="1798" width="7.42578125" style="15" customWidth="1"/>
    <col min="1799" max="1799" width="9.28515625" style="15"/>
    <col min="1800" max="1800" width="8.28515625" style="15" customWidth="1"/>
    <col min="1801" max="1801" width="11.5703125" style="15" customWidth="1"/>
    <col min="1802" max="1802" width="9.7109375" style="15" customWidth="1"/>
    <col min="1803" max="1803" width="9.42578125" style="15" customWidth="1"/>
    <col min="1804" max="1804" width="10.42578125" style="15" customWidth="1"/>
    <col min="1805" max="1806" width="0" style="15" hidden="1" customWidth="1"/>
    <col min="1807" max="1807" width="14.42578125" style="15" customWidth="1"/>
    <col min="1808" max="1808" width="12.7109375" style="15" customWidth="1"/>
    <col min="1809" max="1809" width="11.5703125" style="15" bestFit="1" customWidth="1"/>
    <col min="1810" max="1810" width="9.28515625" style="15"/>
    <col min="1811" max="1811" width="10.28515625" style="15" bestFit="1" customWidth="1"/>
    <col min="1812" max="2048" width="9.28515625" style="15"/>
    <col min="2049" max="2049" width="5" style="15" bestFit="1" customWidth="1"/>
    <col min="2050" max="2050" width="19.5703125" style="15" customWidth="1"/>
    <col min="2051" max="2051" width="9.7109375" style="15" customWidth="1"/>
    <col min="2052" max="2052" width="11" style="15" customWidth="1"/>
    <col min="2053" max="2054" width="7.42578125" style="15" customWidth="1"/>
    <col min="2055" max="2055" width="9.28515625" style="15"/>
    <col min="2056" max="2056" width="8.28515625" style="15" customWidth="1"/>
    <col min="2057" max="2057" width="11.5703125" style="15" customWidth="1"/>
    <col min="2058" max="2058" width="9.7109375" style="15" customWidth="1"/>
    <col min="2059" max="2059" width="9.42578125" style="15" customWidth="1"/>
    <col min="2060" max="2060" width="10.42578125" style="15" customWidth="1"/>
    <col min="2061" max="2062" width="0" style="15" hidden="1" customWidth="1"/>
    <col min="2063" max="2063" width="14.42578125" style="15" customWidth="1"/>
    <col min="2064" max="2064" width="12.7109375" style="15" customWidth="1"/>
    <col min="2065" max="2065" width="11.5703125" style="15" bestFit="1" customWidth="1"/>
    <col min="2066" max="2066" width="9.28515625" style="15"/>
    <col min="2067" max="2067" width="10.28515625" style="15" bestFit="1" customWidth="1"/>
    <col min="2068" max="2304" width="9.28515625" style="15"/>
    <col min="2305" max="2305" width="5" style="15" bestFit="1" customWidth="1"/>
    <col min="2306" max="2306" width="19.5703125" style="15" customWidth="1"/>
    <col min="2307" max="2307" width="9.7109375" style="15" customWidth="1"/>
    <col min="2308" max="2308" width="11" style="15" customWidth="1"/>
    <col min="2309" max="2310" width="7.42578125" style="15" customWidth="1"/>
    <col min="2311" max="2311" width="9.28515625" style="15"/>
    <col min="2312" max="2312" width="8.28515625" style="15" customWidth="1"/>
    <col min="2313" max="2313" width="11.5703125" style="15" customWidth="1"/>
    <col min="2314" max="2314" width="9.7109375" style="15" customWidth="1"/>
    <col min="2315" max="2315" width="9.42578125" style="15" customWidth="1"/>
    <col min="2316" max="2316" width="10.42578125" style="15" customWidth="1"/>
    <col min="2317" max="2318" width="0" style="15" hidden="1" customWidth="1"/>
    <col min="2319" max="2319" width="14.42578125" style="15" customWidth="1"/>
    <col min="2320" max="2320" width="12.7109375" style="15" customWidth="1"/>
    <col min="2321" max="2321" width="11.5703125" style="15" bestFit="1" customWidth="1"/>
    <col min="2322" max="2322" width="9.28515625" style="15"/>
    <col min="2323" max="2323" width="10.28515625" style="15" bestFit="1" customWidth="1"/>
    <col min="2324" max="2560" width="9.28515625" style="15"/>
    <col min="2561" max="2561" width="5" style="15" bestFit="1" customWidth="1"/>
    <col min="2562" max="2562" width="19.5703125" style="15" customWidth="1"/>
    <col min="2563" max="2563" width="9.7109375" style="15" customWidth="1"/>
    <col min="2564" max="2564" width="11" style="15" customWidth="1"/>
    <col min="2565" max="2566" width="7.42578125" style="15" customWidth="1"/>
    <col min="2567" max="2567" width="9.28515625" style="15"/>
    <col min="2568" max="2568" width="8.28515625" style="15" customWidth="1"/>
    <col min="2569" max="2569" width="11.5703125" style="15" customWidth="1"/>
    <col min="2570" max="2570" width="9.7109375" style="15" customWidth="1"/>
    <col min="2571" max="2571" width="9.42578125" style="15" customWidth="1"/>
    <col min="2572" max="2572" width="10.42578125" style="15" customWidth="1"/>
    <col min="2573" max="2574" width="0" style="15" hidden="1" customWidth="1"/>
    <col min="2575" max="2575" width="14.42578125" style="15" customWidth="1"/>
    <col min="2576" max="2576" width="12.7109375" style="15" customWidth="1"/>
    <col min="2577" max="2577" width="11.5703125" style="15" bestFit="1" customWidth="1"/>
    <col min="2578" max="2578" width="9.28515625" style="15"/>
    <col min="2579" max="2579" width="10.28515625" style="15" bestFit="1" customWidth="1"/>
    <col min="2580" max="2816" width="9.28515625" style="15"/>
    <col min="2817" max="2817" width="5" style="15" bestFit="1" customWidth="1"/>
    <col min="2818" max="2818" width="19.5703125" style="15" customWidth="1"/>
    <col min="2819" max="2819" width="9.7109375" style="15" customWidth="1"/>
    <col min="2820" max="2820" width="11" style="15" customWidth="1"/>
    <col min="2821" max="2822" width="7.42578125" style="15" customWidth="1"/>
    <col min="2823" max="2823" width="9.28515625" style="15"/>
    <col min="2824" max="2824" width="8.28515625" style="15" customWidth="1"/>
    <col min="2825" max="2825" width="11.5703125" style="15" customWidth="1"/>
    <col min="2826" max="2826" width="9.7109375" style="15" customWidth="1"/>
    <col min="2827" max="2827" width="9.42578125" style="15" customWidth="1"/>
    <col min="2828" max="2828" width="10.42578125" style="15" customWidth="1"/>
    <col min="2829" max="2830" width="0" style="15" hidden="1" customWidth="1"/>
    <col min="2831" max="2831" width="14.42578125" style="15" customWidth="1"/>
    <col min="2832" max="2832" width="12.7109375" style="15" customWidth="1"/>
    <col min="2833" max="2833" width="11.5703125" style="15" bestFit="1" customWidth="1"/>
    <col min="2834" max="2834" width="9.28515625" style="15"/>
    <col min="2835" max="2835" width="10.28515625" style="15" bestFit="1" customWidth="1"/>
    <col min="2836" max="3072" width="9.28515625" style="15"/>
    <col min="3073" max="3073" width="5" style="15" bestFit="1" customWidth="1"/>
    <col min="3074" max="3074" width="19.5703125" style="15" customWidth="1"/>
    <col min="3075" max="3075" width="9.7109375" style="15" customWidth="1"/>
    <col min="3076" max="3076" width="11" style="15" customWidth="1"/>
    <col min="3077" max="3078" width="7.42578125" style="15" customWidth="1"/>
    <col min="3079" max="3079" width="9.28515625" style="15"/>
    <col min="3080" max="3080" width="8.28515625" style="15" customWidth="1"/>
    <col min="3081" max="3081" width="11.5703125" style="15" customWidth="1"/>
    <col min="3082" max="3082" width="9.7109375" style="15" customWidth="1"/>
    <col min="3083" max="3083" width="9.42578125" style="15" customWidth="1"/>
    <col min="3084" max="3084" width="10.42578125" style="15" customWidth="1"/>
    <col min="3085" max="3086" width="0" style="15" hidden="1" customWidth="1"/>
    <col min="3087" max="3087" width="14.42578125" style="15" customWidth="1"/>
    <col min="3088" max="3088" width="12.7109375" style="15" customWidth="1"/>
    <col min="3089" max="3089" width="11.5703125" style="15" bestFit="1" customWidth="1"/>
    <col min="3090" max="3090" width="9.28515625" style="15"/>
    <col min="3091" max="3091" width="10.28515625" style="15" bestFit="1" customWidth="1"/>
    <col min="3092" max="3328" width="9.28515625" style="15"/>
    <col min="3329" max="3329" width="5" style="15" bestFit="1" customWidth="1"/>
    <col min="3330" max="3330" width="19.5703125" style="15" customWidth="1"/>
    <col min="3331" max="3331" width="9.7109375" style="15" customWidth="1"/>
    <col min="3332" max="3332" width="11" style="15" customWidth="1"/>
    <col min="3333" max="3334" width="7.42578125" style="15" customWidth="1"/>
    <col min="3335" max="3335" width="9.28515625" style="15"/>
    <col min="3336" max="3336" width="8.28515625" style="15" customWidth="1"/>
    <col min="3337" max="3337" width="11.5703125" style="15" customWidth="1"/>
    <col min="3338" max="3338" width="9.7109375" style="15" customWidth="1"/>
    <col min="3339" max="3339" width="9.42578125" style="15" customWidth="1"/>
    <col min="3340" max="3340" width="10.42578125" style="15" customWidth="1"/>
    <col min="3341" max="3342" width="0" style="15" hidden="1" customWidth="1"/>
    <col min="3343" max="3343" width="14.42578125" style="15" customWidth="1"/>
    <col min="3344" max="3344" width="12.7109375" style="15" customWidth="1"/>
    <col min="3345" max="3345" width="11.5703125" style="15" bestFit="1" customWidth="1"/>
    <col min="3346" max="3346" width="9.28515625" style="15"/>
    <col min="3347" max="3347" width="10.28515625" style="15" bestFit="1" customWidth="1"/>
    <col min="3348" max="3584" width="9.28515625" style="15"/>
    <col min="3585" max="3585" width="5" style="15" bestFit="1" customWidth="1"/>
    <col min="3586" max="3586" width="19.5703125" style="15" customWidth="1"/>
    <col min="3587" max="3587" width="9.7109375" style="15" customWidth="1"/>
    <col min="3588" max="3588" width="11" style="15" customWidth="1"/>
    <col min="3589" max="3590" width="7.42578125" style="15" customWidth="1"/>
    <col min="3591" max="3591" width="9.28515625" style="15"/>
    <col min="3592" max="3592" width="8.28515625" style="15" customWidth="1"/>
    <col min="3593" max="3593" width="11.5703125" style="15" customWidth="1"/>
    <col min="3594" max="3594" width="9.7109375" style="15" customWidth="1"/>
    <col min="3595" max="3595" width="9.42578125" style="15" customWidth="1"/>
    <col min="3596" max="3596" width="10.42578125" style="15" customWidth="1"/>
    <col min="3597" max="3598" width="0" style="15" hidden="1" customWidth="1"/>
    <col min="3599" max="3599" width="14.42578125" style="15" customWidth="1"/>
    <col min="3600" max="3600" width="12.7109375" style="15" customWidth="1"/>
    <col min="3601" max="3601" width="11.5703125" style="15" bestFit="1" customWidth="1"/>
    <col min="3602" max="3602" width="9.28515625" style="15"/>
    <col min="3603" max="3603" width="10.28515625" style="15" bestFit="1" customWidth="1"/>
    <col min="3604" max="3840" width="9.28515625" style="15"/>
    <col min="3841" max="3841" width="5" style="15" bestFit="1" customWidth="1"/>
    <col min="3842" max="3842" width="19.5703125" style="15" customWidth="1"/>
    <col min="3843" max="3843" width="9.7109375" style="15" customWidth="1"/>
    <col min="3844" max="3844" width="11" style="15" customWidth="1"/>
    <col min="3845" max="3846" width="7.42578125" style="15" customWidth="1"/>
    <col min="3847" max="3847" width="9.28515625" style="15"/>
    <col min="3848" max="3848" width="8.28515625" style="15" customWidth="1"/>
    <col min="3849" max="3849" width="11.5703125" style="15" customWidth="1"/>
    <col min="3850" max="3850" width="9.7109375" style="15" customWidth="1"/>
    <col min="3851" max="3851" width="9.42578125" style="15" customWidth="1"/>
    <col min="3852" max="3852" width="10.42578125" style="15" customWidth="1"/>
    <col min="3853" max="3854" width="0" style="15" hidden="1" customWidth="1"/>
    <col min="3855" max="3855" width="14.42578125" style="15" customWidth="1"/>
    <col min="3856" max="3856" width="12.7109375" style="15" customWidth="1"/>
    <col min="3857" max="3857" width="11.5703125" style="15" bestFit="1" customWidth="1"/>
    <col min="3858" max="3858" width="9.28515625" style="15"/>
    <col min="3859" max="3859" width="10.28515625" style="15" bestFit="1" customWidth="1"/>
    <col min="3860" max="4096" width="9.28515625" style="15"/>
    <col min="4097" max="4097" width="5" style="15" bestFit="1" customWidth="1"/>
    <col min="4098" max="4098" width="19.5703125" style="15" customWidth="1"/>
    <col min="4099" max="4099" width="9.7109375" style="15" customWidth="1"/>
    <col min="4100" max="4100" width="11" style="15" customWidth="1"/>
    <col min="4101" max="4102" width="7.42578125" style="15" customWidth="1"/>
    <col min="4103" max="4103" width="9.28515625" style="15"/>
    <col min="4104" max="4104" width="8.28515625" style="15" customWidth="1"/>
    <col min="4105" max="4105" width="11.5703125" style="15" customWidth="1"/>
    <col min="4106" max="4106" width="9.7109375" style="15" customWidth="1"/>
    <col min="4107" max="4107" width="9.42578125" style="15" customWidth="1"/>
    <col min="4108" max="4108" width="10.42578125" style="15" customWidth="1"/>
    <col min="4109" max="4110" width="0" style="15" hidden="1" customWidth="1"/>
    <col min="4111" max="4111" width="14.42578125" style="15" customWidth="1"/>
    <col min="4112" max="4112" width="12.7109375" style="15" customWidth="1"/>
    <col min="4113" max="4113" width="11.5703125" style="15" bestFit="1" customWidth="1"/>
    <col min="4114" max="4114" width="9.28515625" style="15"/>
    <col min="4115" max="4115" width="10.28515625" style="15" bestFit="1" customWidth="1"/>
    <col min="4116" max="4352" width="9.28515625" style="15"/>
    <col min="4353" max="4353" width="5" style="15" bestFit="1" customWidth="1"/>
    <col min="4354" max="4354" width="19.5703125" style="15" customWidth="1"/>
    <col min="4355" max="4355" width="9.7109375" style="15" customWidth="1"/>
    <col min="4356" max="4356" width="11" style="15" customWidth="1"/>
    <col min="4357" max="4358" width="7.42578125" style="15" customWidth="1"/>
    <col min="4359" max="4359" width="9.28515625" style="15"/>
    <col min="4360" max="4360" width="8.28515625" style="15" customWidth="1"/>
    <col min="4361" max="4361" width="11.5703125" style="15" customWidth="1"/>
    <col min="4362" max="4362" width="9.7109375" style="15" customWidth="1"/>
    <col min="4363" max="4363" width="9.42578125" style="15" customWidth="1"/>
    <col min="4364" max="4364" width="10.42578125" style="15" customWidth="1"/>
    <col min="4365" max="4366" width="0" style="15" hidden="1" customWidth="1"/>
    <col min="4367" max="4367" width="14.42578125" style="15" customWidth="1"/>
    <col min="4368" max="4368" width="12.7109375" style="15" customWidth="1"/>
    <col min="4369" max="4369" width="11.5703125" style="15" bestFit="1" customWidth="1"/>
    <col min="4370" max="4370" width="9.28515625" style="15"/>
    <col min="4371" max="4371" width="10.28515625" style="15" bestFit="1" customWidth="1"/>
    <col min="4372" max="4608" width="9.28515625" style="15"/>
    <col min="4609" max="4609" width="5" style="15" bestFit="1" customWidth="1"/>
    <col min="4610" max="4610" width="19.5703125" style="15" customWidth="1"/>
    <col min="4611" max="4611" width="9.7109375" style="15" customWidth="1"/>
    <col min="4612" max="4612" width="11" style="15" customWidth="1"/>
    <col min="4613" max="4614" width="7.42578125" style="15" customWidth="1"/>
    <col min="4615" max="4615" width="9.28515625" style="15"/>
    <col min="4616" max="4616" width="8.28515625" style="15" customWidth="1"/>
    <col min="4617" max="4617" width="11.5703125" style="15" customWidth="1"/>
    <col min="4618" max="4618" width="9.7109375" style="15" customWidth="1"/>
    <col min="4619" max="4619" width="9.42578125" style="15" customWidth="1"/>
    <col min="4620" max="4620" width="10.42578125" style="15" customWidth="1"/>
    <col min="4621" max="4622" width="0" style="15" hidden="1" customWidth="1"/>
    <col min="4623" max="4623" width="14.42578125" style="15" customWidth="1"/>
    <col min="4624" max="4624" width="12.7109375" style="15" customWidth="1"/>
    <col min="4625" max="4625" width="11.5703125" style="15" bestFit="1" customWidth="1"/>
    <col min="4626" max="4626" width="9.28515625" style="15"/>
    <col min="4627" max="4627" width="10.28515625" style="15" bestFit="1" customWidth="1"/>
    <col min="4628" max="4864" width="9.28515625" style="15"/>
    <col min="4865" max="4865" width="5" style="15" bestFit="1" customWidth="1"/>
    <col min="4866" max="4866" width="19.5703125" style="15" customWidth="1"/>
    <col min="4867" max="4867" width="9.7109375" style="15" customWidth="1"/>
    <col min="4868" max="4868" width="11" style="15" customWidth="1"/>
    <col min="4869" max="4870" width="7.42578125" style="15" customWidth="1"/>
    <col min="4871" max="4871" width="9.28515625" style="15"/>
    <col min="4872" max="4872" width="8.28515625" style="15" customWidth="1"/>
    <col min="4873" max="4873" width="11.5703125" style="15" customWidth="1"/>
    <col min="4874" max="4874" width="9.7109375" style="15" customWidth="1"/>
    <col min="4875" max="4875" width="9.42578125" style="15" customWidth="1"/>
    <col min="4876" max="4876" width="10.42578125" style="15" customWidth="1"/>
    <col min="4877" max="4878" width="0" style="15" hidden="1" customWidth="1"/>
    <col min="4879" max="4879" width="14.42578125" style="15" customWidth="1"/>
    <col min="4880" max="4880" width="12.7109375" style="15" customWidth="1"/>
    <col min="4881" max="4881" width="11.5703125" style="15" bestFit="1" customWidth="1"/>
    <col min="4882" max="4882" width="9.28515625" style="15"/>
    <col min="4883" max="4883" width="10.28515625" style="15" bestFit="1" customWidth="1"/>
    <col min="4884" max="5120" width="9.28515625" style="15"/>
    <col min="5121" max="5121" width="5" style="15" bestFit="1" customWidth="1"/>
    <col min="5122" max="5122" width="19.5703125" style="15" customWidth="1"/>
    <col min="5123" max="5123" width="9.7109375" style="15" customWidth="1"/>
    <col min="5124" max="5124" width="11" style="15" customWidth="1"/>
    <col min="5125" max="5126" width="7.42578125" style="15" customWidth="1"/>
    <col min="5127" max="5127" width="9.28515625" style="15"/>
    <col min="5128" max="5128" width="8.28515625" style="15" customWidth="1"/>
    <col min="5129" max="5129" width="11.5703125" style="15" customWidth="1"/>
    <col min="5130" max="5130" width="9.7109375" style="15" customWidth="1"/>
    <col min="5131" max="5131" width="9.42578125" style="15" customWidth="1"/>
    <col min="5132" max="5132" width="10.42578125" style="15" customWidth="1"/>
    <col min="5133" max="5134" width="0" style="15" hidden="1" customWidth="1"/>
    <col min="5135" max="5135" width="14.42578125" style="15" customWidth="1"/>
    <col min="5136" max="5136" width="12.7109375" style="15" customWidth="1"/>
    <col min="5137" max="5137" width="11.5703125" style="15" bestFit="1" customWidth="1"/>
    <col min="5138" max="5138" width="9.28515625" style="15"/>
    <col min="5139" max="5139" width="10.28515625" style="15" bestFit="1" customWidth="1"/>
    <col min="5140" max="5376" width="9.28515625" style="15"/>
    <col min="5377" max="5377" width="5" style="15" bestFit="1" customWidth="1"/>
    <col min="5378" max="5378" width="19.5703125" style="15" customWidth="1"/>
    <col min="5379" max="5379" width="9.7109375" style="15" customWidth="1"/>
    <col min="5380" max="5380" width="11" style="15" customWidth="1"/>
    <col min="5381" max="5382" width="7.42578125" style="15" customWidth="1"/>
    <col min="5383" max="5383" width="9.28515625" style="15"/>
    <col min="5384" max="5384" width="8.28515625" style="15" customWidth="1"/>
    <col min="5385" max="5385" width="11.5703125" style="15" customWidth="1"/>
    <col min="5386" max="5386" width="9.7109375" style="15" customWidth="1"/>
    <col min="5387" max="5387" width="9.42578125" style="15" customWidth="1"/>
    <col min="5388" max="5388" width="10.42578125" style="15" customWidth="1"/>
    <col min="5389" max="5390" width="0" style="15" hidden="1" customWidth="1"/>
    <col min="5391" max="5391" width="14.42578125" style="15" customWidth="1"/>
    <col min="5392" max="5392" width="12.7109375" style="15" customWidth="1"/>
    <col min="5393" max="5393" width="11.5703125" style="15" bestFit="1" customWidth="1"/>
    <col min="5394" max="5394" width="9.28515625" style="15"/>
    <col min="5395" max="5395" width="10.28515625" style="15" bestFit="1" customWidth="1"/>
    <col min="5396" max="5632" width="9.28515625" style="15"/>
    <col min="5633" max="5633" width="5" style="15" bestFit="1" customWidth="1"/>
    <col min="5634" max="5634" width="19.5703125" style="15" customWidth="1"/>
    <col min="5635" max="5635" width="9.7109375" style="15" customWidth="1"/>
    <col min="5636" max="5636" width="11" style="15" customWidth="1"/>
    <col min="5637" max="5638" width="7.42578125" style="15" customWidth="1"/>
    <col min="5639" max="5639" width="9.28515625" style="15"/>
    <col min="5640" max="5640" width="8.28515625" style="15" customWidth="1"/>
    <col min="5641" max="5641" width="11.5703125" style="15" customWidth="1"/>
    <col min="5642" max="5642" width="9.7109375" style="15" customWidth="1"/>
    <col min="5643" max="5643" width="9.42578125" style="15" customWidth="1"/>
    <col min="5644" max="5644" width="10.42578125" style="15" customWidth="1"/>
    <col min="5645" max="5646" width="0" style="15" hidden="1" customWidth="1"/>
    <col min="5647" max="5647" width="14.42578125" style="15" customWidth="1"/>
    <col min="5648" max="5648" width="12.7109375" style="15" customWidth="1"/>
    <col min="5649" max="5649" width="11.5703125" style="15" bestFit="1" customWidth="1"/>
    <col min="5650" max="5650" width="9.28515625" style="15"/>
    <col min="5651" max="5651" width="10.28515625" style="15" bestFit="1" customWidth="1"/>
    <col min="5652" max="5888" width="9.28515625" style="15"/>
    <col min="5889" max="5889" width="5" style="15" bestFit="1" customWidth="1"/>
    <col min="5890" max="5890" width="19.5703125" style="15" customWidth="1"/>
    <col min="5891" max="5891" width="9.7109375" style="15" customWidth="1"/>
    <col min="5892" max="5892" width="11" style="15" customWidth="1"/>
    <col min="5893" max="5894" width="7.42578125" style="15" customWidth="1"/>
    <col min="5895" max="5895" width="9.28515625" style="15"/>
    <col min="5896" max="5896" width="8.28515625" style="15" customWidth="1"/>
    <col min="5897" max="5897" width="11.5703125" style="15" customWidth="1"/>
    <col min="5898" max="5898" width="9.7109375" style="15" customWidth="1"/>
    <col min="5899" max="5899" width="9.42578125" style="15" customWidth="1"/>
    <col min="5900" max="5900" width="10.42578125" style="15" customWidth="1"/>
    <col min="5901" max="5902" width="0" style="15" hidden="1" customWidth="1"/>
    <col min="5903" max="5903" width="14.42578125" style="15" customWidth="1"/>
    <col min="5904" max="5904" width="12.7109375" style="15" customWidth="1"/>
    <col min="5905" max="5905" width="11.5703125" style="15" bestFit="1" customWidth="1"/>
    <col min="5906" max="5906" width="9.28515625" style="15"/>
    <col min="5907" max="5907" width="10.28515625" style="15" bestFit="1" customWidth="1"/>
    <col min="5908" max="6144" width="9.28515625" style="15"/>
    <col min="6145" max="6145" width="5" style="15" bestFit="1" customWidth="1"/>
    <col min="6146" max="6146" width="19.5703125" style="15" customWidth="1"/>
    <col min="6147" max="6147" width="9.7109375" style="15" customWidth="1"/>
    <col min="6148" max="6148" width="11" style="15" customWidth="1"/>
    <col min="6149" max="6150" width="7.42578125" style="15" customWidth="1"/>
    <col min="6151" max="6151" width="9.28515625" style="15"/>
    <col min="6152" max="6152" width="8.28515625" style="15" customWidth="1"/>
    <col min="6153" max="6153" width="11.5703125" style="15" customWidth="1"/>
    <col min="6154" max="6154" width="9.7109375" style="15" customWidth="1"/>
    <col min="6155" max="6155" width="9.42578125" style="15" customWidth="1"/>
    <col min="6156" max="6156" width="10.42578125" style="15" customWidth="1"/>
    <col min="6157" max="6158" width="0" style="15" hidden="1" customWidth="1"/>
    <col min="6159" max="6159" width="14.42578125" style="15" customWidth="1"/>
    <col min="6160" max="6160" width="12.7109375" style="15" customWidth="1"/>
    <col min="6161" max="6161" width="11.5703125" style="15" bestFit="1" customWidth="1"/>
    <col min="6162" max="6162" width="9.28515625" style="15"/>
    <col min="6163" max="6163" width="10.28515625" style="15" bestFit="1" customWidth="1"/>
    <col min="6164" max="6400" width="9.28515625" style="15"/>
    <col min="6401" max="6401" width="5" style="15" bestFit="1" customWidth="1"/>
    <col min="6402" max="6402" width="19.5703125" style="15" customWidth="1"/>
    <col min="6403" max="6403" width="9.7109375" style="15" customWidth="1"/>
    <col min="6404" max="6404" width="11" style="15" customWidth="1"/>
    <col min="6405" max="6406" width="7.42578125" style="15" customWidth="1"/>
    <col min="6407" max="6407" width="9.28515625" style="15"/>
    <col min="6408" max="6408" width="8.28515625" style="15" customWidth="1"/>
    <col min="6409" max="6409" width="11.5703125" style="15" customWidth="1"/>
    <col min="6410" max="6410" width="9.7109375" style="15" customWidth="1"/>
    <col min="6411" max="6411" width="9.42578125" style="15" customWidth="1"/>
    <col min="6412" max="6412" width="10.42578125" style="15" customWidth="1"/>
    <col min="6413" max="6414" width="0" style="15" hidden="1" customWidth="1"/>
    <col min="6415" max="6415" width="14.42578125" style="15" customWidth="1"/>
    <col min="6416" max="6416" width="12.7109375" style="15" customWidth="1"/>
    <col min="6417" max="6417" width="11.5703125" style="15" bestFit="1" customWidth="1"/>
    <col min="6418" max="6418" width="9.28515625" style="15"/>
    <col min="6419" max="6419" width="10.28515625" style="15" bestFit="1" customWidth="1"/>
    <col min="6420" max="6656" width="9.28515625" style="15"/>
    <col min="6657" max="6657" width="5" style="15" bestFit="1" customWidth="1"/>
    <col min="6658" max="6658" width="19.5703125" style="15" customWidth="1"/>
    <col min="6659" max="6659" width="9.7109375" style="15" customWidth="1"/>
    <col min="6660" max="6660" width="11" style="15" customWidth="1"/>
    <col min="6661" max="6662" width="7.42578125" style="15" customWidth="1"/>
    <col min="6663" max="6663" width="9.28515625" style="15"/>
    <col min="6664" max="6664" width="8.28515625" style="15" customWidth="1"/>
    <col min="6665" max="6665" width="11.5703125" style="15" customWidth="1"/>
    <col min="6666" max="6666" width="9.7109375" style="15" customWidth="1"/>
    <col min="6667" max="6667" width="9.42578125" style="15" customWidth="1"/>
    <col min="6668" max="6668" width="10.42578125" style="15" customWidth="1"/>
    <col min="6669" max="6670" width="0" style="15" hidden="1" customWidth="1"/>
    <col min="6671" max="6671" width="14.42578125" style="15" customWidth="1"/>
    <col min="6672" max="6672" width="12.7109375" style="15" customWidth="1"/>
    <col min="6673" max="6673" width="11.5703125" style="15" bestFit="1" customWidth="1"/>
    <col min="6674" max="6674" width="9.28515625" style="15"/>
    <col min="6675" max="6675" width="10.28515625" style="15" bestFit="1" customWidth="1"/>
    <col min="6676" max="6912" width="9.28515625" style="15"/>
    <col min="6913" max="6913" width="5" style="15" bestFit="1" customWidth="1"/>
    <col min="6914" max="6914" width="19.5703125" style="15" customWidth="1"/>
    <col min="6915" max="6915" width="9.7109375" style="15" customWidth="1"/>
    <col min="6916" max="6916" width="11" style="15" customWidth="1"/>
    <col min="6917" max="6918" width="7.42578125" style="15" customWidth="1"/>
    <col min="6919" max="6919" width="9.28515625" style="15"/>
    <col min="6920" max="6920" width="8.28515625" style="15" customWidth="1"/>
    <col min="6921" max="6921" width="11.5703125" style="15" customWidth="1"/>
    <col min="6922" max="6922" width="9.7109375" style="15" customWidth="1"/>
    <col min="6923" max="6923" width="9.42578125" style="15" customWidth="1"/>
    <col min="6924" max="6924" width="10.42578125" style="15" customWidth="1"/>
    <col min="6925" max="6926" width="0" style="15" hidden="1" customWidth="1"/>
    <col min="6927" max="6927" width="14.42578125" style="15" customWidth="1"/>
    <col min="6928" max="6928" width="12.7109375" style="15" customWidth="1"/>
    <col min="6929" max="6929" width="11.5703125" style="15" bestFit="1" customWidth="1"/>
    <col min="6930" max="6930" width="9.28515625" style="15"/>
    <col min="6931" max="6931" width="10.28515625" style="15" bestFit="1" customWidth="1"/>
    <col min="6932" max="7168" width="9.28515625" style="15"/>
    <col min="7169" max="7169" width="5" style="15" bestFit="1" customWidth="1"/>
    <col min="7170" max="7170" width="19.5703125" style="15" customWidth="1"/>
    <col min="7171" max="7171" width="9.7109375" style="15" customWidth="1"/>
    <col min="7172" max="7172" width="11" style="15" customWidth="1"/>
    <col min="7173" max="7174" width="7.42578125" style="15" customWidth="1"/>
    <col min="7175" max="7175" width="9.28515625" style="15"/>
    <col min="7176" max="7176" width="8.28515625" style="15" customWidth="1"/>
    <col min="7177" max="7177" width="11.5703125" style="15" customWidth="1"/>
    <col min="7178" max="7178" width="9.7109375" style="15" customWidth="1"/>
    <col min="7179" max="7179" width="9.42578125" style="15" customWidth="1"/>
    <col min="7180" max="7180" width="10.42578125" style="15" customWidth="1"/>
    <col min="7181" max="7182" width="0" style="15" hidden="1" customWidth="1"/>
    <col min="7183" max="7183" width="14.42578125" style="15" customWidth="1"/>
    <col min="7184" max="7184" width="12.7109375" style="15" customWidth="1"/>
    <col min="7185" max="7185" width="11.5703125" style="15" bestFit="1" customWidth="1"/>
    <col min="7186" max="7186" width="9.28515625" style="15"/>
    <col min="7187" max="7187" width="10.28515625" style="15" bestFit="1" customWidth="1"/>
    <col min="7188" max="7424" width="9.28515625" style="15"/>
    <col min="7425" max="7425" width="5" style="15" bestFit="1" customWidth="1"/>
    <col min="7426" max="7426" width="19.5703125" style="15" customWidth="1"/>
    <col min="7427" max="7427" width="9.7109375" style="15" customWidth="1"/>
    <col min="7428" max="7428" width="11" style="15" customWidth="1"/>
    <col min="7429" max="7430" width="7.42578125" style="15" customWidth="1"/>
    <col min="7431" max="7431" width="9.28515625" style="15"/>
    <col min="7432" max="7432" width="8.28515625" style="15" customWidth="1"/>
    <col min="7433" max="7433" width="11.5703125" style="15" customWidth="1"/>
    <col min="7434" max="7434" width="9.7109375" style="15" customWidth="1"/>
    <col min="7435" max="7435" width="9.42578125" style="15" customWidth="1"/>
    <col min="7436" max="7436" width="10.42578125" style="15" customWidth="1"/>
    <col min="7437" max="7438" width="0" style="15" hidden="1" customWidth="1"/>
    <col min="7439" max="7439" width="14.42578125" style="15" customWidth="1"/>
    <col min="7440" max="7440" width="12.7109375" style="15" customWidth="1"/>
    <col min="7441" max="7441" width="11.5703125" style="15" bestFit="1" customWidth="1"/>
    <col min="7442" max="7442" width="9.28515625" style="15"/>
    <col min="7443" max="7443" width="10.28515625" style="15" bestFit="1" customWidth="1"/>
    <col min="7444" max="7680" width="9.28515625" style="15"/>
    <col min="7681" max="7681" width="5" style="15" bestFit="1" customWidth="1"/>
    <col min="7682" max="7682" width="19.5703125" style="15" customWidth="1"/>
    <col min="7683" max="7683" width="9.7109375" style="15" customWidth="1"/>
    <col min="7684" max="7684" width="11" style="15" customWidth="1"/>
    <col min="7685" max="7686" width="7.42578125" style="15" customWidth="1"/>
    <col min="7687" max="7687" width="9.28515625" style="15"/>
    <col min="7688" max="7688" width="8.28515625" style="15" customWidth="1"/>
    <col min="7689" max="7689" width="11.5703125" style="15" customWidth="1"/>
    <col min="7690" max="7690" width="9.7109375" style="15" customWidth="1"/>
    <col min="7691" max="7691" width="9.42578125" style="15" customWidth="1"/>
    <col min="7692" max="7692" width="10.42578125" style="15" customWidth="1"/>
    <col min="7693" max="7694" width="0" style="15" hidden="1" customWidth="1"/>
    <col min="7695" max="7695" width="14.42578125" style="15" customWidth="1"/>
    <col min="7696" max="7696" width="12.7109375" style="15" customWidth="1"/>
    <col min="7697" max="7697" width="11.5703125" style="15" bestFit="1" customWidth="1"/>
    <col min="7698" max="7698" width="9.28515625" style="15"/>
    <col min="7699" max="7699" width="10.28515625" style="15" bestFit="1" customWidth="1"/>
    <col min="7700" max="7936" width="9.28515625" style="15"/>
    <col min="7937" max="7937" width="5" style="15" bestFit="1" customWidth="1"/>
    <col min="7938" max="7938" width="19.5703125" style="15" customWidth="1"/>
    <col min="7939" max="7939" width="9.7109375" style="15" customWidth="1"/>
    <col min="7940" max="7940" width="11" style="15" customWidth="1"/>
    <col min="7941" max="7942" width="7.42578125" style="15" customWidth="1"/>
    <col min="7943" max="7943" width="9.28515625" style="15"/>
    <col min="7944" max="7944" width="8.28515625" style="15" customWidth="1"/>
    <col min="7945" max="7945" width="11.5703125" style="15" customWidth="1"/>
    <col min="7946" max="7946" width="9.7109375" style="15" customWidth="1"/>
    <col min="7947" max="7947" width="9.42578125" style="15" customWidth="1"/>
    <col min="7948" max="7948" width="10.42578125" style="15" customWidth="1"/>
    <col min="7949" max="7950" width="0" style="15" hidden="1" customWidth="1"/>
    <col min="7951" max="7951" width="14.42578125" style="15" customWidth="1"/>
    <col min="7952" max="7952" width="12.7109375" style="15" customWidth="1"/>
    <col min="7953" max="7953" width="11.5703125" style="15" bestFit="1" customWidth="1"/>
    <col min="7954" max="7954" width="9.28515625" style="15"/>
    <col min="7955" max="7955" width="10.28515625" style="15" bestFit="1" customWidth="1"/>
    <col min="7956" max="8192" width="9.28515625" style="15"/>
    <col min="8193" max="8193" width="5" style="15" bestFit="1" customWidth="1"/>
    <col min="8194" max="8194" width="19.5703125" style="15" customWidth="1"/>
    <col min="8195" max="8195" width="9.7109375" style="15" customWidth="1"/>
    <col min="8196" max="8196" width="11" style="15" customWidth="1"/>
    <col min="8197" max="8198" width="7.42578125" style="15" customWidth="1"/>
    <col min="8199" max="8199" width="9.28515625" style="15"/>
    <col min="8200" max="8200" width="8.28515625" style="15" customWidth="1"/>
    <col min="8201" max="8201" width="11.5703125" style="15" customWidth="1"/>
    <col min="8202" max="8202" width="9.7109375" style="15" customWidth="1"/>
    <col min="8203" max="8203" width="9.42578125" style="15" customWidth="1"/>
    <col min="8204" max="8204" width="10.42578125" style="15" customWidth="1"/>
    <col min="8205" max="8206" width="0" style="15" hidden="1" customWidth="1"/>
    <col min="8207" max="8207" width="14.42578125" style="15" customWidth="1"/>
    <col min="8208" max="8208" width="12.7109375" style="15" customWidth="1"/>
    <col min="8209" max="8209" width="11.5703125" style="15" bestFit="1" customWidth="1"/>
    <col min="8210" max="8210" width="9.28515625" style="15"/>
    <col min="8211" max="8211" width="10.28515625" style="15" bestFit="1" customWidth="1"/>
    <col min="8212" max="8448" width="9.28515625" style="15"/>
    <col min="8449" max="8449" width="5" style="15" bestFit="1" customWidth="1"/>
    <col min="8450" max="8450" width="19.5703125" style="15" customWidth="1"/>
    <col min="8451" max="8451" width="9.7109375" style="15" customWidth="1"/>
    <col min="8452" max="8452" width="11" style="15" customWidth="1"/>
    <col min="8453" max="8454" width="7.42578125" style="15" customWidth="1"/>
    <col min="8455" max="8455" width="9.28515625" style="15"/>
    <col min="8456" max="8456" width="8.28515625" style="15" customWidth="1"/>
    <col min="8457" max="8457" width="11.5703125" style="15" customWidth="1"/>
    <col min="8458" max="8458" width="9.7109375" style="15" customWidth="1"/>
    <col min="8459" max="8459" width="9.42578125" style="15" customWidth="1"/>
    <col min="8460" max="8460" width="10.42578125" style="15" customWidth="1"/>
    <col min="8461" max="8462" width="0" style="15" hidden="1" customWidth="1"/>
    <col min="8463" max="8463" width="14.42578125" style="15" customWidth="1"/>
    <col min="8464" max="8464" width="12.7109375" style="15" customWidth="1"/>
    <col min="8465" max="8465" width="11.5703125" style="15" bestFit="1" customWidth="1"/>
    <col min="8466" max="8466" width="9.28515625" style="15"/>
    <col min="8467" max="8467" width="10.28515625" style="15" bestFit="1" customWidth="1"/>
    <col min="8468" max="8704" width="9.28515625" style="15"/>
    <col min="8705" max="8705" width="5" style="15" bestFit="1" customWidth="1"/>
    <col min="8706" max="8706" width="19.5703125" style="15" customWidth="1"/>
    <col min="8707" max="8707" width="9.7109375" style="15" customWidth="1"/>
    <col min="8708" max="8708" width="11" style="15" customWidth="1"/>
    <col min="8709" max="8710" width="7.42578125" style="15" customWidth="1"/>
    <col min="8711" max="8711" width="9.28515625" style="15"/>
    <col min="8712" max="8712" width="8.28515625" style="15" customWidth="1"/>
    <col min="8713" max="8713" width="11.5703125" style="15" customWidth="1"/>
    <col min="8714" max="8714" width="9.7109375" style="15" customWidth="1"/>
    <col min="8715" max="8715" width="9.42578125" style="15" customWidth="1"/>
    <col min="8716" max="8716" width="10.42578125" style="15" customWidth="1"/>
    <col min="8717" max="8718" width="0" style="15" hidden="1" customWidth="1"/>
    <col min="8719" max="8719" width="14.42578125" style="15" customWidth="1"/>
    <col min="8720" max="8720" width="12.7109375" style="15" customWidth="1"/>
    <col min="8721" max="8721" width="11.5703125" style="15" bestFit="1" customWidth="1"/>
    <col min="8722" max="8722" width="9.28515625" style="15"/>
    <col min="8723" max="8723" width="10.28515625" style="15" bestFit="1" customWidth="1"/>
    <col min="8724" max="8960" width="9.28515625" style="15"/>
    <col min="8961" max="8961" width="5" style="15" bestFit="1" customWidth="1"/>
    <col min="8962" max="8962" width="19.5703125" style="15" customWidth="1"/>
    <col min="8963" max="8963" width="9.7109375" style="15" customWidth="1"/>
    <col min="8964" max="8964" width="11" style="15" customWidth="1"/>
    <col min="8965" max="8966" width="7.42578125" style="15" customWidth="1"/>
    <col min="8967" max="8967" width="9.28515625" style="15"/>
    <col min="8968" max="8968" width="8.28515625" style="15" customWidth="1"/>
    <col min="8969" max="8969" width="11.5703125" style="15" customWidth="1"/>
    <col min="8970" max="8970" width="9.7109375" style="15" customWidth="1"/>
    <col min="8971" max="8971" width="9.42578125" style="15" customWidth="1"/>
    <col min="8972" max="8972" width="10.42578125" style="15" customWidth="1"/>
    <col min="8973" max="8974" width="0" style="15" hidden="1" customWidth="1"/>
    <col min="8975" max="8975" width="14.42578125" style="15" customWidth="1"/>
    <col min="8976" max="8976" width="12.7109375" style="15" customWidth="1"/>
    <col min="8977" max="8977" width="11.5703125" style="15" bestFit="1" customWidth="1"/>
    <col min="8978" max="8978" width="9.28515625" style="15"/>
    <col min="8979" max="8979" width="10.28515625" style="15" bestFit="1" customWidth="1"/>
    <col min="8980" max="9216" width="9.28515625" style="15"/>
    <col min="9217" max="9217" width="5" style="15" bestFit="1" customWidth="1"/>
    <col min="9218" max="9218" width="19.5703125" style="15" customWidth="1"/>
    <col min="9219" max="9219" width="9.7109375" style="15" customWidth="1"/>
    <col min="9220" max="9220" width="11" style="15" customWidth="1"/>
    <col min="9221" max="9222" width="7.42578125" style="15" customWidth="1"/>
    <col min="9223" max="9223" width="9.28515625" style="15"/>
    <col min="9224" max="9224" width="8.28515625" style="15" customWidth="1"/>
    <col min="9225" max="9225" width="11.5703125" style="15" customWidth="1"/>
    <col min="9226" max="9226" width="9.7109375" style="15" customWidth="1"/>
    <col min="9227" max="9227" width="9.42578125" style="15" customWidth="1"/>
    <col min="9228" max="9228" width="10.42578125" style="15" customWidth="1"/>
    <col min="9229" max="9230" width="0" style="15" hidden="1" customWidth="1"/>
    <col min="9231" max="9231" width="14.42578125" style="15" customWidth="1"/>
    <col min="9232" max="9232" width="12.7109375" style="15" customWidth="1"/>
    <col min="9233" max="9233" width="11.5703125" style="15" bestFit="1" customWidth="1"/>
    <col min="9234" max="9234" width="9.28515625" style="15"/>
    <col min="9235" max="9235" width="10.28515625" style="15" bestFit="1" customWidth="1"/>
    <col min="9236" max="9472" width="9.28515625" style="15"/>
    <col min="9473" max="9473" width="5" style="15" bestFit="1" customWidth="1"/>
    <col min="9474" max="9474" width="19.5703125" style="15" customWidth="1"/>
    <col min="9475" max="9475" width="9.7109375" style="15" customWidth="1"/>
    <col min="9476" max="9476" width="11" style="15" customWidth="1"/>
    <col min="9477" max="9478" width="7.42578125" style="15" customWidth="1"/>
    <col min="9479" max="9479" width="9.28515625" style="15"/>
    <col min="9480" max="9480" width="8.28515625" style="15" customWidth="1"/>
    <col min="9481" max="9481" width="11.5703125" style="15" customWidth="1"/>
    <col min="9482" max="9482" width="9.7109375" style="15" customWidth="1"/>
    <col min="9483" max="9483" width="9.42578125" style="15" customWidth="1"/>
    <col min="9484" max="9484" width="10.42578125" style="15" customWidth="1"/>
    <col min="9485" max="9486" width="0" style="15" hidden="1" customWidth="1"/>
    <col min="9487" max="9487" width="14.42578125" style="15" customWidth="1"/>
    <col min="9488" max="9488" width="12.7109375" style="15" customWidth="1"/>
    <col min="9489" max="9489" width="11.5703125" style="15" bestFit="1" customWidth="1"/>
    <col min="9490" max="9490" width="9.28515625" style="15"/>
    <col min="9491" max="9491" width="10.28515625" style="15" bestFit="1" customWidth="1"/>
    <col min="9492" max="9728" width="9.28515625" style="15"/>
    <col min="9729" max="9729" width="5" style="15" bestFit="1" customWidth="1"/>
    <col min="9730" max="9730" width="19.5703125" style="15" customWidth="1"/>
    <col min="9731" max="9731" width="9.7109375" style="15" customWidth="1"/>
    <col min="9732" max="9732" width="11" style="15" customWidth="1"/>
    <col min="9733" max="9734" width="7.42578125" style="15" customWidth="1"/>
    <col min="9735" max="9735" width="9.28515625" style="15"/>
    <col min="9736" max="9736" width="8.28515625" style="15" customWidth="1"/>
    <col min="9737" max="9737" width="11.5703125" style="15" customWidth="1"/>
    <col min="9738" max="9738" width="9.7109375" style="15" customWidth="1"/>
    <col min="9739" max="9739" width="9.42578125" style="15" customWidth="1"/>
    <col min="9740" max="9740" width="10.42578125" style="15" customWidth="1"/>
    <col min="9741" max="9742" width="0" style="15" hidden="1" customWidth="1"/>
    <col min="9743" max="9743" width="14.42578125" style="15" customWidth="1"/>
    <col min="9744" max="9744" width="12.7109375" style="15" customWidth="1"/>
    <col min="9745" max="9745" width="11.5703125" style="15" bestFit="1" customWidth="1"/>
    <col min="9746" max="9746" width="9.28515625" style="15"/>
    <col min="9747" max="9747" width="10.28515625" style="15" bestFit="1" customWidth="1"/>
    <col min="9748" max="9984" width="9.28515625" style="15"/>
    <col min="9985" max="9985" width="5" style="15" bestFit="1" customWidth="1"/>
    <col min="9986" max="9986" width="19.5703125" style="15" customWidth="1"/>
    <col min="9987" max="9987" width="9.7109375" style="15" customWidth="1"/>
    <col min="9988" max="9988" width="11" style="15" customWidth="1"/>
    <col min="9989" max="9990" width="7.42578125" style="15" customWidth="1"/>
    <col min="9991" max="9991" width="9.28515625" style="15"/>
    <col min="9992" max="9992" width="8.28515625" style="15" customWidth="1"/>
    <col min="9993" max="9993" width="11.5703125" style="15" customWidth="1"/>
    <col min="9994" max="9994" width="9.7109375" style="15" customWidth="1"/>
    <col min="9995" max="9995" width="9.42578125" style="15" customWidth="1"/>
    <col min="9996" max="9996" width="10.42578125" style="15" customWidth="1"/>
    <col min="9997" max="9998" width="0" style="15" hidden="1" customWidth="1"/>
    <col min="9999" max="9999" width="14.42578125" style="15" customWidth="1"/>
    <col min="10000" max="10000" width="12.7109375" style="15" customWidth="1"/>
    <col min="10001" max="10001" width="11.5703125" style="15" bestFit="1" customWidth="1"/>
    <col min="10002" max="10002" width="9.28515625" style="15"/>
    <col min="10003" max="10003" width="10.28515625" style="15" bestFit="1" customWidth="1"/>
    <col min="10004" max="10240" width="9.28515625" style="15"/>
    <col min="10241" max="10241" width="5" style="15" bestFit="1" customWidth="1"/>
    <col min="10242" max="10242" width="19.5703125" style="15" customWidth="1"/>
    <col min="10243" max="10243" width="9.7109375" style="15" customWidth="1"/>
    <col min="10244" max="10244" width="11" style="15" customWidth="1"/>
    <col min="10245" max="10246" width="7.42578125" style="15" customWidth="1"/>
    <col min="10247" max="10247" width="9.28515625" style="15"/>
    <col min="10248" max="10248" width="8.28515625" style="15" customWidth="1"/>
    <col min="10249" max="10249" width="11.5703125" style="15" customWidth="1"/>
    <col min="10250" max="10250" width="9.7109375" style="15" customWidth="1"/>
    <col min="10251" max="10251" width="9.42578125" style="15" customWidth="1"/>
    <col min="10252" max="10252" width="10.42578125" style="15" customWidth="1"/>
    <col min="10253" max="10254" width="0" style="15" hidden="1" customWidth="1"/>
    <col min="10255" max="10255" width="14.42578125" style="15" customWidth="1"/>
    <col min="10256" max="10256" width="12.7109375" style="15" customWidth="1"/>
    <col min="10257" max="10257" width="11.5703125" style="15" bestFit="1" customWidth="1"/>
    <col min="10258" max="10258" width="9.28515625" style="15"/>
    <col min="10259" max="10259" width="10.28515625" style="15" bestFit="1" customWidth="1"/>
    <col min="10260" max="10496" width="9.28515625" style="15"/>
    <col min="10497" max="10497" width="5" style="15" bestFit="1" customWidth="1"/>
    <col min="10498" max="10498" width="19.5703125" style="15" customWidth="1"/>
    <col min="10499" max="10499" width="9.7109375" style="15" customWidth="1"/>
    <col min="10500" max="10500" width="11" style="15" customWidth="1"/>
    <col min="10501" max="10502" width="7.42578125" style="15" customWidth="1"/>
    <col min="10503" max="10503" width="9.28515625" style="15"/>
    <col min="10504" max="10504" width="8.28515625" style="15" customWidth="1"/>
    <col min="10505" max="10505" width="11.5703125" style="15" customWidth="1"/>
    <col min="10506" max="10506" width="9.7109375" style="15" customWidth="1"/>
    <col min="10507" max="10507" width="9.42578125" style="15" customWidth="1"/>
    <col min="10508" max="10508" width="10.42578125" style="15" customWidth="1"/>
    <col min="10509" max="10510" width="0" style="15" hidden="1" customWidth="1"/>
    <col min="10511" max="10511" width="14.42578125" style="15" customWidth="1"/>
    <col min="10512" max="10512" width="12.7109375" style="15" customWidth="1"/>
    <col min="10513" max="10513" width="11.5703125" style="15" bestFit="1" customWidth="1"/>
    <col min="10514" max="10514" width="9.28515625" style="15"/>
    <col min="10515" max="10515" width="10.28515625" style="15" bestFit="1" customWidth="1"/>
    <col min="10516" max="10752" width="9.28515625" style="15"/>
    <col min="10753" max="10753" width="5" style="15" bestFit="1" customWidth="1"/>
    <col min="10754" max="10754" width="19.5703125" style="15" customWidth="1"/>
    <col min="10755" max="10755" width="9.7109375" style="15" customWidth="1"/>
    <col min="10756" max="10756" width="11" style="15" customWidth="1"/>
    <col min="10757" max="10758" width="7.42578125" style="15" customWidth="1"/>
    <col min="10759" max="10759" width="9.28515625" style="15"/>
    <col min="10760" max="10760" width="8.28515625" style="15" customWidth="1"/>
    <col min="10761" max="10761" width="11.5703125" style="15" customWidth="1"/>
    <col min="10762" max="10762" width="9.7109375" style="15" customWidth="1"/>
    <col min="10763" max="10763" width="9.42578125" style="15" customWidth="1"/>
    <col min="10764" max="10764" width="10.42578125" style="15" customWidth="1"/>
    <col min="10765" max="10766" width="0" style="15" hidden="1" customWidth="1"/>
    <col min="10767" max="10767" width="14.42578125" style="15" customWidth="1"/>
    <col min="10768" max="10768" width="12.7109375" style="15" customWidth="1"/>
    <col min="10769" max="10769" width="11.5703125" style="15" bestFit="1" customWidth="1"/>
    <col min="10770" max="10770" width="9.28515625" style="15"/>
    <col min="10771" max="10771" width="10.28515625" style="15" bestFit="1" customWidth="1"/>
    <col min="10772" max="11008" width="9.28515625" style="15"/>
    <col min="11009" max="11009" width="5" style="15" bestFit="1" customWidth="1"/>
    <col min="11010" max="11010" width="19.5703125" style="15" customWidth="1"/>
    <col min="11011" max="11011" width="9.7109375" style="15" customWidth="1"/>
    <col min="11012" max="11012" width="11" style="15" customWidth="1"/>
    <col min="11013" max="11014" width="7.42578125" style="15" customWidth="1"/>
    <col min="11015" max="11015" width="9.28515625" style="15"/>
    <col min="11016" max="11016" width="8.28515625" style="15" customWidth="1"/>
    <col min="11017" max="11017" width="11.5703125" style="15" customWidth="1"/>
    <col min="11018" max="11018" width="9.7109375" style="15" customWidth="1"/>
    <col min="11019" max="11019" width="9.42578125" style="15" customWidth="1"/>
    <col min="11020" max="11020" width="10.42578125" style="15" customWidth="1"/>
    <col min="11021" max="11022" width="0" style="15" hidden="1" customWidth="1"/>
    <col min="11023" max="11023" width="14.42578125" style="15" customWidth="1"/>
    <col min="11024" max="11024" width="12.7109375" style="15" customWidth="1"/>
    <col min="11025" max="11025" width="11.5703125" style="15" bestFit="1" customWidth="1"/>
    <col min="11026" max="11026" width="9.28515625" style="15"/>
    <col min="11027" max="11027" width="10.28515625" style="15" bestFit="1" customWidth="1"/>
    <col min="11028" max="11264" width="9.28515625" style="15"/>
    <col min="11265" max="11265" width="5" style="15" bestFit="1" customWidth="1"/>
    <col min="11266" max="11266" width="19.5703125" style="15" customWidth="1"/>
    <col min="11267" max="11267" width="9.7109375" style="15" customWidth="1"/>
    <col min="11268" max="11268" width="11" style="15" customWidth="1"/>
    <col min="11269" max="11270" width="7.42578125" style="15" customWidth="1"/>
    <col min="11271" max="11271" width="9.28515625" style="15"/>
    <col min="11272" max="11272" width="8.28515625" style="15" customWidth="1"/>
    <col min="11273" max="11273" width="11.5703125" style="15" customWidth="1"/>
    <col min="11274" max="11274" width="9.7109375" style="15" customWidth="1"/>
    <col min="11275" max="11275" width="9.42578125" style="15" customWidth="1"/>
    <col min="11276" max="11276" width="10.42578125" style="15" customWidth="1"/>
    <col min="11277" max="11278" width="0" style="15" hidden="1" customWidth="1"/>
    <col min="11279" max="11279" width="14.42578125" style="15" customWidth="1"/>
    <col min="11280" max="11280" width="12.7109375" style="15" customWidth="1"/>
    <col min="11281" max="11281" width="11.5703125" style="15" bestFit="1" customWidth="1"/>
    <col min="11282" max="11282" width="9.28515625" style="15"/>
    <col min="11283" max="11283" width="10.28515625" style="15" bestFit="1" customWidth="1"/>
    <col min="11284" max="11520" width="9.28515625" style="15"/>
    <col min="11521" max="11521" width="5" style="15" bestFit="1" customWidth="1"/>
    <col min="11522" max="11522" width="19.5703125" style="15" customWidth="1"/>
    <col min="11523" max="11523" width="9.7109375" style="15" customWidth="1"/>
    <col min="11524" max="11524" width="11" style="15" customWidth="1"/>
    <col min="11525" max="11526" width="7.42578125" style="15" customWidth="1"/>
    <col min="11527" max="11527" width="9.28515625" style="15"/>
    <col min="11528" max="11528" width="8.28515625" style="15" customWidth="1"/>
    <col min="11529" max="11529" width="11.5703125" style="15" customWidth="1"/>
    <col min="11530" max="11530" width="9.7109375" style="15" customWidth="1"/>
    <col min="11531" max="11531" width="9.42578125" style="15" customWidth="1"/>
    <col min="11532" max="11532" width="10.42578125" style="15" customWidth="1"/>
    <col min="11533" max="11534" width="0" style="15" hidden="1" customWidth="1"/>
    <col min="11535" max="11535" width="14.42578125" style="15" customWidth="1"/>
    <col min="11536" max="11536" width="12.7109375" style="15" customWidth="1"/>
    <col min="11537" max="11537" width="11.5703125" style="15" bestFit="1" customWidth="1"/>
    <col min="11538" max="11538" width="9.28515625" style="15"/>
    <col min="11539" max="11539" width="10.28515625" style="15" bestFit="1" customWidth="1"/>
    <col min="11540" max="11776" width="9.28515625" style="15"/>
    <col min="11777" max="11777" width="5" style="15" bestFit="1" customWidth="1"/>
    <col min="11778" max="11778" width="19.5703125" style="15" customWidth="1"/>
    <col min="11779" max="11779" width="9.7109375" style="15" customWidth="1"/>
    <col min="11780" max="11780" width="11" style="15" customWidth="1"/>
    <col min="11781" max="11782" width="7.42578125" style="15" customWidth="1"/>
    <col min="11783" max="11783" width="9.28515625" style="15"/>
    <col min="11784" max="11784" width="8.28515625" style="15" customWidth="1"/>
    <col min="11785" max="11785" width="11.5703125" style="15" customWidth="1"/>
    <col min="11786" max="11786" width="9.7109375" style="15" customWidth="1"/>
    <col min="11787" max="11787" width="9.42578125" style="15" customWidth="1"/>
    <col min="11788" max="11788" width="10.42578125" style="15" customWidth="1"/>
    <col min="11789" max="11790" width="0" style="15" hidden="1" customWidth="1"/>
    <col min="11791" max="11791" width="14.42578125" style="15" customWidth="1"/>
    <col min="11792" max="11792" width="12.7109375" style="15" customWidth="1"/>
    <col min="11793" max="11793" width="11.5703125" style="15" bestFit="1" customWidth="1"/>
    <col min="11794" max="11794" width="9.28515625" style="15"/>
    <col min="11795" max="11795" width="10.28515625" style="15" bestFit="1" customWidth="1"/>
    <col min="11796" max="12032" width="9.28515625" style="15"/>
    <col min="12033" max="12033" width="5" style="15" bestFit="1" customWidth="1"/>
    <col min="12034" max="12034" width="19.5703125" style="15" customWidth="1"/>
    <col min="12035" max="12035" width="9.7109375" style="15" customWidth="1"/>
    <col min="12036" max="12036" width="11" style="15" customWidth="1"/>
    <col min="12037" max="12038" width="7.42578125" style="15" customWidth="1"/>
    <col min="12039" max="12039" width="9.28515625" style="15"/>
    <col min="12040" max="12040" width="8.28515625" style="15" customWidth="1"/>
    <col min="12041" max="12041" width="11.5703125" style="15" customWidth="1"/>
    <col min="12042" max="12042" width="9.7109375" style="15" customWidth="1"/>
    <col min="12043" max="12043" width="9.42578125" style="15" customWidth="1"/>
    <col min="12044" max="12044" width="10.42578125" style="15" customWidth="1"/>
    <col min="12045" max="12046" width="0" style="15" hidden="1" customWidth="1"/>
    <col min="12047" max="12047" width="14.42578125" style="15" customWidth="1"/>
    <col min="12048" max="12048" width="12.7109375" style="15" customWidth="1"/>
    <col min="12049" max="12049" width="11.5703125" style="15" bestFit="1" customWidth="1"/>
    <col min="12050" max="12050" width="9.28515625" style="15"/>
    <col min="12051" max="12051" width="10.28515625" style="15" bestFit="1" customWidth="1"/>
    <col min="12052" max="12288" width="9.28515625" style="15"/>
    <col min="12289" max="12289" width="5" style="15" bestFit="1" customWidth="1"/>
    <col min="12290" max="12290" width="19.5703125" style="15" customWidth="1"/>
    <col min="12291" max="12291" width="9.7109375" style="15" customWidth="1"/>
    <col min="12292" max="12292" width="11" style="15" customWidth="1"/>
    <col min="12293" max="12294" width="7.42578125" style="15" customWidth="1"/>
    <col min="12295" max="12295" width="9.28515625" style="15"/>
    <col min="12296" max="12296" width="8.28515625" style="15" customWidth="1"/>
    <col min="12297" max="12297" width="11.5703125" style="15" customWidth="1"/>
    <col min="12298" max="12298" width="9.7109375" style="15" customWidth="1"/>
    <col min="12299" max="12299" width="9.42578125" style="15" customWidth="1"/>
    <col min="12300" max="12300" width="10.42578125" style="15" customWidth="1"/>
    <col min="12301" max="12302" width="0" style="15" hidden="1" customWidth="1"/>
    <col min="12303" max="12303" width="14.42578125" style="15" customWidth="1"/>
    <col min="12304" max="12304" width="12.7109375" style="15" customWidth="1"/>
    <col min="12305" max="12305" width="11.5703125" style="15" bestFit="1" customWidth="1"/>
    <col min="12306" max="12306" width="9.28515625" style="15"/>
    <col min="12307" max="12307" width="10.28515625" style="15" bestFit="1" customWidth="1"/>
    <col min="12308" max="12544" width="9.28515625" style="15"/>
    <col min="12545" max="12545" width="5" style="15" bestFit="1" customWidth="1"/>
    <col min="12546" max="12546" width="19.5703125" style="15" customWidth="1"/>
    <col min="12547" max="12547" width="9.7109375" style="15" customWidth="1"/>
    <col min="12548" max="12548" width="11" style="15" customWidth="1"/>
    <col min="12549" max="12550" width="7.42578125" style="15" customWidth="1"/>
    <col min="12551" max="12551" width="9.28515625" style="15"/>
    <col min="12552" max="12552" width="8.28515625" style="15" customWidth="1"/>
    <col min="12553" max="12553" width="11.5703125" style="15" customWidth="1"/>
    <col min="12554" max="12554" width="9.7109375" style="15" customWidth="1"/>
    <col min="12555" max="12555" width="9.42578125" style="15" customWidth="1"/>
    <col min="12556" max="12556" width="10.42578125" style="15" customWidth="1"/>
    <col min="12557" max="12558" width="0" style="15" hidden="1" customWidth="1"/>
    <col min="12559" max="12559" width="14.42578125" style="15" customWidth="1"/>
    <col min="12560" max="12560" width="12.7109375" style="15" customWidth="1"/>
    <col min="12561" max="12561" width="11.5703125" style="15" bestFit="1" customWidth="1"/>
    <col min="12562" max="12562" width="9.28515625" style="15"/>
    <col min="12563" max="12563" width="10.28515625" style="15" bestFit="1" customWidth="1"/>
    <col min="12564" max="12800" width="9.28515625" style="15"/>
    <col min="12801" max="12801" width="5" style="15" bestFit="1" customWidth="1"/>
    <col min="12802" max="12802" width="19.5703125" style="15" customWidth="1"/>
    <col min="12803" max="12803" width="9.7109375" style="15" customWidth="1"/>
    <col min="12804" max="12804" width="11" style="15" customWidth="1"/>
    <col min="12805" max="12806" width="7.42578125" style="15" customWidth="1"/>
    <col min="12807" max="12807" width="9.28515625" style="15"/>
    <col min="12808" max="12808" width="8.28515625" style="15" customWidth="1"/>
    <col min="12809" max="12809" width="11.5703125" style="15" customWidth="1"/>
    <col min="12810" max="12810" width="9.7109375" style="15" customWidth="1"/>
    <col min="12811" max="12811" width="9.42578125" style="15" customWidth="1"/>
    <col min="12812" max="12812" width="10.42578125" style="15" customWidth="1"/>
    <col min="12813" max="12814" width="0" style="15" hidden="1" customWidth="1"/>
    <col min="12815" max="12815" width="14.42578125" style="15" customWidth="1"/>
    <col min="12816" max="12816" width="12.7109375" style="15" customWidth="1"/>
    <col min="12817" max="12817" width="11.5703125" style="15" bestFit="1" customWidth="1"/>
    <col min="12818" max="12818" width="9.28515625" style="15"/>
    <col min="12819" max="12819" width="10.28515625" style="15" bestFit="1" customWidth="1"/>
    <col min="12820" max="13056" width="9.28515625" style="15"/>
    <col min="13057" max="13057" width="5" style="15" bestFit="1" customWidth="1"/>
    <col min="13058" max="13058" width="19.5703125" style="15" customWidth="1"/>
    <col min="13059" max="13059" width="9.7109375" style="15" customWidth="1"/>
    <col min="13060" max="13060" width="11" style="15" customWidth="1"/>
    <col min="13061" max="13062" width="7.42578125" style="15" customWidth="1"/>
    <col min="13063" max="13063" width="9.28515625" style="15"/>
    <col min="13064" max="13064" width="8.28515625" style="15" customWidth="1"/>
    <col min="13065" max="13065" width="11.5703125" style="15" customWidth="1"/>
    <col min="13066" max="13066" width="9.7109375" style="15" customWidth="1"/>
    <col min="13067" max="13067" width="9.42578125" style="15" customWidth="1"/>
    <col min="13068" max="13068" width="10.42578125" style="15" customWidth="1"/>
    <col min="13069" max="13070" width="0" style="15" hidden="1" customWidth="1"/>
    <col min="13071" max="13071" width="14.42578125" style="15" customWidth="1"/>
    <col min="13072" max="13072" width="12.7109375" style="15" customWidth="1"/>
    <col min="13073" max="13073" width="11.5703125" style="15" bestFit="1" customWidth="1"/>
    <col min="13074" max="13074" width="9.28515625" style="15"/>
    <col min="13075" max="13075" width="10.28515625" style="15" bestFit="1" customWidth="1"/>
    <col min="13076" max="13312" width="9.28515625" style="15"/>
    <col min="13313" max="13313" width="5" style="15" bestFit="1" customWidth="1"/>
    <col min="13314" max="13314" width="19.5703125" style="15" customWidth="1"/>
    <col min="13315" max="13315" width="9.7109375" style="15" customWidth="1"/>
    <col min="13316" max="13316" width="11" style="15" customWidth="1"/>
    <col min="13317" max="13318" width="7.42578125" style="15" customWidth="1"/>
    <col min="13319" max="13319" width="9.28515625" style="15"/>
    <col min="13320" max="13320" width="8.28515625" style="15" customWidth="1"/>
    <col min="13321" max="13321" width="11.5703125" style="15" customWidth="1"/>
    <col min="13322" max="13322" width="9.7109375" style="15" customWidth="1"/>
    <col min="13323" max="13323" width="9.42578125" style="15" customWidth="1"/>
    <col min="13324" max="13324" width="10.42578125" style="15" customWidth="1"/>
    <col min="13325" max="13326" width="0" style="15" hidden="1" customWidth="1"/>
    <col min="13327" max="13327" width="14.42578125" style="15" customWidth="1"/>
    <col min="13328" max="13328" width="12.7109375" style="15" customWidth="1"/>
    <col min="13329" max="13329" width="11.5703125" style="15" bestFit="1" customWidth="1"/>
    <col min="13330" max="13330" width="9.28515625" style="15"/>
    <col min="13331" max="13331" width="10.28515625" style="15" bestFit="1" customWidth="1"/>
    <col min="13332" max="13568" width="9.28515625" style="15"/>
    <col min="13569" max="13569" width="5" style="15" bestFit="1" customWidth="1"/>
    <col min="13570" max="13570" width="19.5703125" style="15" customWidth="1"/>
    <col min="13571" max="13571" width="9.7109375" style="15" customWidth="1"/>
    <col min="13572" max="13572" width="11" style="15" customWidth="1"/>
    <col min="13573" max="13574" width="7.42578125" style="15" customWidth="1"/>
    <col min="13575" max="13575" width="9.28515625" style="15"/>
    <col min="13576" max="13576" width="8.28515625" style="15" customWidth="1"/>
    <col min="13577" max="13577" width="11.5703125" style="15" customWidth="1"/>
    <col min="13578" max="13578" width="9.7109375" style="15" customWidth="1"/>
    <col min="13579" max="13579" width="9.42578125" style="15" customWidth="1"/>
    <col min="13580" max="13580" width="10.42578125" style="15" customWidth="1"/>
    <col min="13581" max="13582" width="0" style="15" hidden="1" customWidth="1"/>
    <col min="13583" max="13583" width="14.42578125" style="15" customWidth="1"/>
    <col min="13584" max="13584" width="12.7109375" style="15" customWidth="1"/>
    <col min="13585" max="13585" width="11.5703125" style="15" bestFit="1" customWidth="1"/>
    <col min="13586" max="13586" width="9.28515625" style="15"/>
    <col min="13587" max="13587" width="10.28515625" style="15" bestFit="1" customWidth="1"/>
    <col min="13588" max="13824" width="9.28515625" style="15"/>
    <col min="13825" max="13825" width="5" style="15" bestFit="1" customWidth="1"/>
    <col min="13826" max="13826" width="19.5703125" style="15" customWidth="1"/>
    <col min="13827" max="13827" width="9.7109375" style="15" customWidth="1"/>
    <col min="13828" max="13828" width="11" style="15" customWidth="1"/>
    <col min="13829" max="13830" width="7.42578125" style="15" customWidth="1"/>
    <col min="13831" max="13831" width="9.28515625" style="15"/>
    <col min="13832" max="13832" width="8.28515625" style="15" customWidth="1"/>
    <col min="13833" max="13833" width="11.5703125" style="15" customWidth="1"/>
    <col min="13834" max="13834" width="9.7109375" style="15" customWidth="1"/>
    <col min="13835" max="13835" width="9.42578125" style="15" customWidth="1"/>
    <col min="13836" max="13836" width="10.42578125" style="15" customWidth="1"/>
    <col min="13837" max="13838" width="0" style="15" hidden="1" customWidth="1"/>
    <col min="13839" max="13839" width="14.42578125" style="15" customWidth="1"/>
    <col min="13840" max="13840" width="12.7109375" style="15" customWidth="1"/>
    <col min="13841" max="13841" width="11.5703125" style="15" bestFit="1" customWidth="1"/>
    <col min="13842" max="13842" width="9.28515625" style="15"/>
    <col min="13843" max="13843" width="10.28515625" style="15" bestFit="1" customWidth="1"/>
    <col min="13844" max="14080" width="9.28515625" style="15"/>
    <col min="14081" max="14081" width="5" style="15" bestFit="1" customWidth="1"/>
    <col min="14082" max="14082" width="19.5703125" style="15" customWidth="1"/>
    <col min="14083" max="14083" width="9.7109375" style="15" customWidth="1"/>
    <col min="14084" max="14084" width="11" style="15" customWidth="1"/>
    <col min="14085" max="14086" width="7.42578125" style="15" customWidth="1"/>
    <col min="14087" max="14087" width="9.28515625" style="15"/>
    <col min="14088" max="14088" width="8.28515625" style="15" customWidth="1"/>
    <col min="14089" max="14089" width="11.5703125" style="15" customWidth="1"/>
    <col min="14090" max="14090" width="9.7109375" style="15" customWidth="1"/>
    <col min="14091" max="14091" width="9.42578125" style="15" customWidth="1"/>
    <col min="14092" max="14092" width="10.42578125" style="15" customWidth="1"/>
    <col min="14093" max="14094" width="0" style="15" hidden="1" customWidth="1"/>
    <col min="14095" max="14095" width="14.42578125" style="15" customWidth="1"/>
    <col min="14096" max="14096" width="12.7109375" style="15" customWidth="1"/>
    <col min="14097" max="14097" width="11.5703125" style="15" bestFit="1" customWidth="1"/>
    <col min="14098" max="14098" width="9.28515625" style="15"/>
    <col min="14099" max="14099" width="10.28515625" style="15" bestFit="1" customWidth="1"/>
    <col min="14100" max="14336" width="9.28515625" style="15"/>
    <col min="14337" max="14337" width="5" style="15" bestFit="1" customWidth="1"/>
    <col min="14338" max="14338" width="19.5703125" style="15" customWidth="1"/>
    <col min="14339" max="14339" width="9.7109375" style="15" customWidth="1"/>
    <col min="14340" max="14340" width="11" style="15" customWidth="1"/>
    <col min="14341" max="14342" width="7.42578125" style="15" customWidth="1"/>
    <col min="14343" max="14343" width="9.28515625" style="15"/>
    <col min="14344" max="14344" width="8.28515625" style="15" customWidth="1"/>
    <col min="14345" max="14345" width="11.5703125" style="15" customWidth="1"/>
    <col min="14346" max="14346" width="9.7109375" style="15" customWidth="1"/>
    <col min="14347" max="14347" width="9.42578125" style="15" customWidth="1"/>
    <col min="14348" max="14348" width="10.42578125" style="15" customWidth="1"/>
    <col min="14349" max="14350" width="0" style="15" hidden="1" customWidth="1"/>
    <col min="14351" max="14351" width="14.42578125" style="15" customWidth="1"/>
    <col min="14352" max="14352" width="12.7109375" style="15" customWidth="1"/>
    <col min="14353" max="14353" width="11.5703125" style="15" bestFit="1" customWidth="1"/>
    <col min="14354" max="14354" width="9.28515625" style="15"/>
    <col min="14355" max="14355" width="10.28515625" style="15" bestFit="1" customWidth="1"/>
    <col min="14356" max="14592" width="9.28515625" style="15"/>
    <col min="14593" max="14593" width="5" style="15" bestFit="1" customWidth="1"/>
    <col min="14594" max="14594" width="19.5703125" style="15" customWidth="1"/>
    <col min="14595" max="14595" width="9.7109375" style="15" customWidth="1"/>
    <col min="14596" max="14596" width="11" style="15" customWidth="1"/>
    <col min="14597" max="14598" width="7.42578125" style="15" customWidth="1"/>
    <col min="14599" max="14599" width="9.28515625" style="15"/>
    <col min="14600" max="14600" width="8.28515625" style="15" customWidth="1"/>
    <col min="14601" max="14601" width="11.5703125" style="15" customWidth="1"/>
    <col min="14602" max="14602" width="9.7109375" style="15" customWidth="1"/>
    <col min="14603" max="14603" width="9.42578125" style="15" customWidth="1"/>
    <col min="14604" max="14604" width="10.42578125" style="15" customWidth="1"/>
    <col min="14605" max="14606" width="0" style="15" hidden="1" customWidth="1"/>
    <col min="14607" max="14607" width="14.42578125" style="15" customWidth="1"/>
    <col min="14608" max="14608" width="12.7109375" style="15" customWidth="1"/>
    <col min="14609" max="14609" width="11.5703125" style="15" bestFit="1" customWidth="1"/>
    <col min="14610" max="14610" width="9.28515625" style="15"/>
    <col min="14611" max="14611" width="10.28515625" style="15" bestFit="1" customWidth="1"/>
    <col min="14612" max="14848" width="9.28515625" style="15"/>
    <col min="14849" max="14849" width="5" style="15" bestFit="1" customWidth="1"/>
    <col min="14850" max="14850" width="19.5703125" style="15" customWidth="1"/>
    <col min="14851" max="14851" width="9.7109375" style="15" customWidth="1"/>
    <col min="14852" max="14852" width="11" style="15" customWidth="1"/>
    <col min="14853" max="14854" width="7.42578125" style="15" customWidth="1"/>
    <col min="14855" max="14855" width="9.28515625" style="15"/>
    <col min="14856" max="14856" width="8.28515625" style="15" customWidth="1"/>
    <col min="14857" max="14857" width="11.5703125" style="15" customWidth="1"/>
    <col min="14858" max="14858" width="9.7109375" style="15" customWidth="1"/>
    <col min="14859" max="14859" width="9.42578125" style="15" customWidth="1"/>
    <col min="14860" max="14860" width="10.42578125" style="15" customWidth="1"/>
    <col min="14861" max="14862" width="0" style="15" hidden="1" customWidth="1"/>
    <col min="14863" max="14863" width="14.42578125" style="15" customWidth="1"/>
    <col min="14864" max="14864" width="12.7109375" style="15" customWidth="1"/>
    <col min="14865" max="14865" width="11.5703125" style="15" bestFit="1" customWidth="1"/>
    <col min="14866" max="14866" width="9.28515625" style="15"/>
    <col min="14867" max="14867" width="10.28515625" style="15" bestFit="1" customWidth="1"/>
    <col min="14868" max="15104" width="9.28515625" style="15"/>
    <col min="15105" max="15105" width="5" style="15" bestFit="1" customWidth="1"/>
    <col min="15106" max="15106" width="19.5703125" style="15" customWidth="1"/>
    <col min="15107" max="15107" width="9.7109375" style="15" customWidth="1"/>
    <col min="15108" max="15108" width="11" style="15" customWidth="1"/>
    <col min="15109" max="15110" width="7.42578125" style="15" customWidth="1"/>
    <col min="15111" max="15111" width="9.28515625" style="15"/>
    <col min="15112" max="15112" width="8.28515625" style="15" customWidth="1"/>
    <col min="15113" max="15113" width="11.5703125" style="15" customWidth="1"/>
    <col min="15114" max="15114" width="9.7109375" style="15" customWidth="1"/>
    <col min="15115" max="15115" width="9.42578125" style="15" customWidth="1"/>
    <col min="15116" max="15116" width="10.42578125" style="15" customWidth="1"/>
    <col min="15117" max="15118" width="0" style="15" hidden="1" customWidth="1"/>
    <col min="15119" max="15119" width="14.42578125" style="15" customWidth="1"/>
    <col min="15120" max="15120" width="12.7109375" style="15" customWidth="1"/>
    <col min="15121" max="15121" width="11.5703125" style="15" bestFit="1" customWidth="1"/>
    <col min="15122" max="15122" width="9.28515625" style="15"/>
    <col min="15123" max="15123" width="10.28515625" style="15" bestFit="1" customWidth="1"/>
    <col min="15124" max="15360" width="9.28515625" style="15"/>
    <col min="15361" max="15361" width="5" style="15" bestFit="1" customWidth="1"/>
    <col min="15362" max="15362" width="19.5703125" style="15" customWidth="1"/>
    <col min="15363" max="15363" width="9.7109375" style="15" customWidth="1"/>
    <col min="15364" max="15364" width="11" style="15" customWidth="1"/>
    <col min="15365" max="15366" width="7.42578125" style="15" customWidth="1"/>
    <col min="15367" max="15367" width="9.28515625" style="15"/>
    <col min="15368" max="15368" width="8.28515625" style="15" customWidth="1"/>
    <col min="15369" max="15369" width="11.5703125" style="15" customWidth="1"/>
    <col min="15370" max="15370" width="9.7109375" style="15" customWidth="1"/>
    <col min="15371" max="15371" width="9.42578125" style="15" customWidth="1"/>
    <col min="15372" max="15372" width="10.42578125" style="15" customWidth="1"/>
    <col min="15373" max="15374" width="0" style="15" hidden="1" customWidth="1"/>
    <col min="15375" max="15375" width="14.42578125" style="15" customWidth="1"/>
    <col min="15376" max="15376" width="12.7109375" style="15" customWidth="1"/>
    <col min="15377" max="15377" width="11.5703125" style="15" bestFit="1" customWidth="1"/>
    <col min="15378" max="15378" width="9.28515625" style="15"/>
    <col min="15379" max="15379" width="10.28515625" style="15" bestFit="1" customWidth="1"/>
    <col min="15380" max="15616" width="9.28515625" style="15"/>
    <col min="15617" max="15617" width="5" style="15" bestFit="1" customWidth="1"/>
    <col min="15618" max="15618" width="19.5703125" style="15" customWidth="1"/>
    <col min="15619" max="15619" width="9.7109375" style="15" customWidth="1"/>
    <col min="15620" max="15620" width="11" style="15" customWidth="1"/>
    <col min="15621" max="15622" width="7.42578125" style="15" customWidth="1"/>
    <col min="15623" max="15623" width="9.28515625" style="15"/>
    <col min="15624" max="15624" width="8.28515625" style="15" customWidth="1"/>
    <col min="15625" max="15625" width="11.5703125" style="15" customWidth="1"/>
    <col min="15626" max="15626" width="9.7109375" style="15" customWidth="1"/>
    <col min="15627" max="15627" width="9.42578125" style="15" customWidth="1"/>
    <col min="15628" max="15628" width="10.42578125" style="15" customWidth="1"/>
    <col min="15629" max="15630" width="0" style="15" hidden="1" customWidth="1"/>
    <col min="15631" max="15631" width="14.42578125" style="15" customWidth="1"/>
    <col min="15632" max="15632" width="12.7109375" style="15" customWidth="1"/>
    <col min="15633" max="15633" width="11.5703125" style="15" bestFit="1" customWidth="1"/>
    <col min="15634" max="15634" width="9.28515625" style="15"/>
    <col min="15635" max="15635" width="10.28515625" style="15" bestFit="1" customWidth="1"/>
    <col min="15636" max="15872" width="9.28515625" style="15"/>
    <col min="15873" max="15873" width="5" style="15" bestFit="1" customWidth="1"/>
    <col min="15874" max="15874" width="19.5703125" style="15" customWidth="1"/>
    <col min="15875" max="15875" width="9.7109375" style="15" customWidth="1"/>
    <col min="15876" max="15876" width="11" style="15" customWidth="1"/>
    <col min="15877" max="15878" width="7.42578125" style="15" customWidth="1"/>
    <col min="15879" max="15879" width="9.28515625" style="15"/>
    <col min="15880" max="15880" width="8.28515625" style="15" customWidth="1"/>
    <col min="15881" max="15881" width="11.5703125" style="15" customWidth="1"/>
    <col min="15882" max="15882" width="9.7109375" style="15" customWidth="1"/>
    <col min="15883" max="15883" width="9.42578125" style="15" customWidth="1"/>
    <col min="15884" max="15884" width="10.42578125" style="15" customWidth="1"/>
    <col min="15885" max="15886" width="0" style="15" hidden="1" customWidth="1"/>
    <col min="15887" max="15887" width="14.42578125" style="15" customWidth="1"/>
    <col min="15888" max="15888" width="12.7109375" style="15" customWidth="1"/>
    <col min="15889" max="15889" width="11.5703125" style="15" bestFit="1" customWidth="1"/>
    <col min="15890" max="15890" width="9.28515625" style="15"/>
    <col min="15891" max="15891" width="10.28515625" style="15" bestFit="1" customWidth="1"/>
    <col min="15892" max="16128" width="9.28515625" style="15"/>
    <col min="16129" max="16129" width="5" style="15" bestFit="1" customWidth="1"/>
    <col min="16130" max="16130" width="19.5703125" style="15" customWidth="1"/>
    <col min="16131" max="16131" width="9.7109375" style="15" customWidth="1"/>
    <col min="16132" max="16132" width="11" style="15" customWidth="1"/>
    <col min="16133" max="16134" width="7.42578125" style="15" customWidth="1"/>
    <col min="16135" max="16135" width="9.28515625" style="15"/>
    <col min="16136" max="16136" width="8.28515625" style="15" customWidth="1"/>
    <col min="16137" max="16137" width="11.5703125" style="15" customWidth="1"/>
    <col min="16138" max="16138" width="9.7109375" style="15" customWidth="1"/>
    <col min="16139" max="16139" width="9.42578125" style="15" customWidth="1"/>
    <col min="16140" max="16140" width="10.42578125" style="15" customWidth="1"/>
    <col min="16141" max="16142" width="0" style="15" hidden="1" customWidth="1"/>
    <col min="16143" max="16143" width="14.42578125" style="15" customWidth="1"/>
    <col min="16144" max="16144" width="12.7109375" style="15" customWidth="1"/>
    <col min="16145" max="16145" width="11.5703125" style="15" bestFit="1" customWidth="1"/>
    <col min="16146" max="16146" width="9.28515625" style="15"/>
    <col min="16147" max="16147" width="10.28515625" style="15" bestFit="1" customWidth="1"/>
    <col min="16148" max="16384" width="9.28515625" style="15"/>
  </cols>
  <sheetData>
    <row r="1" spans="1:27" s="88" customFormat="1">
      <c r="O1" s="89"/>
      <c r="V1" s="89"/>
      <c r="W1" s="89"/>
      <c r="X1" s="89"/>
      <c r="Y1" s="112"/>
      <c r="Z1" s="112"/>
      <c r="AA1" s="63" t="s">
        <v>290</v>
      </c>
    </row>
    <row r="2" spans="1:27" s="88" customFormat="1">
      <c r="O2" s="89"/>
      <c r="V2" s="89"/>
      <c r="W2" s="89"/>
      <c r="X2" s="89"/>
      <c r="Y2" s="112"/>
      <c r="Z2" s="112"/>
      <c r="AA2" s="64" t="s">
        <v>291</v>
      </c>
    </row>
    <row r="3" spans="1:27" s="88" customFormat="1">
      <c r="O3" s="89"/>
      <c r="V3" s="89"/>
      <c r="W3" s="89"/>
      <c r="X3" s="89"/>
      <c r="Y3" s="112"/>
      <c r="Z3" s="112"/>
      <c r="AA3" s="63" t="s">
        <v>292</v>
      </c>
    </row>
    <row r="4" spans="1:27" s="88" customFormat="1">
      <c r="O4" s="89"/>
      <c r="V4" s="89"/>
      <c r="W4" s="89"/>
      <c r="X4" s="89"/>
      <c r="Y4" s="112"/>
      <c r="Z4" s="112"/>
      <c r="AA4" s="63" t="s">
        <v>293</v>
      </c>
    </row>
    <row r="5" spans="1:27" s="88" customFormat="1">
      <c r="Y5" s="112"/>
      <c r="Z5" s="112"/>
      <c r="AA5" s="2" t="s">
        <v>299</v>
      </c>
    </row>
    <row r="6" spans="1:27" s="88" customFormat="1">
      <c r="AA6" s="90"/>
    </row>
    <row r="7" spans="1:27" s="88" customFormat="1">
      <c r="A7" s="353" t="s">
        <v>148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</row>
    <row r="9" spans="1:27">
      <c r="A9" s="370" t="s">
        <v>0</v>
      </c>
      <c r="B9" s="370" t="s">
        <v>149</v>
      </c>
      <c r="C9" s="370" t="s">
        <v>150</v>
      </c>
      <c r="D9" s="370" t="s">
        <v>151</v>
      </c>
      <c r="E9" s="370" t="s">
        <v>152</v>
      </c>
      <c r="F9" s="371" t="s">
        <v>153</v>
      </c>
      <c r="G9" s="360" t="s">
        <v>154</v>
      </c>
      <c r="H9" s="361"/>
      <c r="I9" s="361"/>
      <c r="J9" s="361"/>
      <c r="K9" s="361"/>
      <c r="L9" s="361"/>
      <c r="M9" s="361"/>
      <c r="N9" s="361"/>
      <c r="O9" s="361"/>
      <c r="P9" s="361"/>
      <c r="Q9" s="362"/>
      <c r="R9" s="370" t="s">
        <v>155</v>
      </c>
      <c r="S9" s="370" t="s">
        <v>156</v>
      </c>
      <c r="T9" s="370" t="s">
        <v>157</v>
      </c>
      <c r="U9" s="370" t="s">
        <v>158</v>
      </c>
      <c r="V9" s="370" t="s">
        <v>159</v>
      </c>
      <c r="W9" s="372" t="s">
        <v>208</v>
      </c>
      <c r="X9" s="373"/>
      <c r="Y9" s="354" t="s">
        <v>160</v>
      </c>
      <c r="Z9" s="354" t="s">
        <v>161</v>
      </c>
      <c r="AA9" s="354" t="s">
        <v>162</v>
      </c>
    </row>
    <row r="10" spans="1:27" ht="48">
      <c r="A10" s="370"/>
      <c r="B10" s="370"/>
      <c r="C10" s="370"/>
      <c r="D10" s="370"/>
      <c r="E10" s="370"/>
      <c r="F10" s="371"/>
      <c r="G10" s="370" t="s">
        <v>163</v>
      </c>
      <c r="H10" s="370"/>
      <c r="I10" s="91" t="s">
        <v>164</v>
      </c>
      <c r="J10" s="370" t="s">
        <v>165</v>
      </c>
      <c r="K10" s="370"/>
      <c r="L10" s="366" t="s">
        <v>166</v>
      </c>
      <c r="M10" s="367"/>
      <c r="N10" s="370" t="s">
        <v>167</v>
      </c>
      <c r="O10" s="370"/>
      <c r="P10" s="368" t="s">
        <v>168</v>
      </c>
      <c r="Q10" s="369"/>
      <c r="R10" s="370"/>
      <c r="S10" s="370"/>
      <c r="T10" s="370"/>
      <c r="U10" s="370"/>
      <c r="V10" s="370"/>
      <c r="W10" s="374"/>
      <c r="X10" s="375"/>
      <c r="Y10" s="356"/>
      <c r="Z10" s="356"/>
      <c r="AA10" s="356"/>
    </row>
    <row r="11" spans="1:27" ht="25.5">
      <c r="A11" s="370"/>
      <c r="B11" s="370"/>
      <c r="C11" s="370"/>
      <c r="D11" s="370"/>
      <c r="E11" s="370"/>
      <c r="F11" s="371"/>
      <c r="G11" s="94" t="s">
        <v>169</v>
      </c>
      <c r="H11" s="94" t="s">
        <v>170</v>
      </c>
      <c r="I11" s="94" t="s">
        <v>170</v>
      </c>
      <c r="J11" s="94" t="s">
        <v>169</v>
      </c>
      <c r="K11" s="94" t="s">
        <v>170</v>
      </c>
      <c r="L11" s="94" t="s">
        <v>169</v>
      </c>
      <c r="M11" s="94" t="s">
        <v>170</v>
      </c>
      <c r="N11" s="94" t="s">
        <v>169</v>
      </c>
      <c r="O11" s="94" t="s">
        <v>170</v>
      </c>
      <c r="P11" s="94" t="s">
        <v>169</v>
      </c>
      <c r="Q11" s="94" t="s">
        <v>170</v>
      </c>
      <c r="R11" s="94" t="s">
        <v>170</v>
      </c>
      <c r="S11" s="94" t="s">
        <v>170</v>
      </c>
      <c r="T11" s="94" t="s">
        <v>170</v>
      </c>
      <c r="U11" s="94" t="s">
        <v>170</v>
      </c>
      <c r="V11" s="94" t="s">
        <v>170</v>
      </c>
      <c r="W11" s="94" t="s">
        <v>227</v>
      </c>
      <c r="X11" s="94" t="s">
        <v>170</v>
      </c>
      <c r="Y11" s="94" t="s">
        <v>170</v>
      </c>
      <c r="Z11" s="94" t="s">
        <v>170</v>
      </c>
      <c r="AA11" s="94" t="s">
        <v>170</v>
      </c>
    </row>
    <row r="12" spans="1:27">
      <c r="A12" s="94">
        <v>1</v>
      </c>
      <c r="B12" s="94">
        <v>2</v>
      </c>
      <c r="C12" s="94">
        <v>3</v>
      </c>
      <c r="D12" s="94">
        <v>4</v>
      </c>
      <c r="E12" s="94">
        <v>5</v>
      </c>
      <c r="F12" s="94">
        <v>6</v>
      </c>
      <c r="G12" s="94">
        <v>7</v>
      </c>
      <c r="H12" s="94">
        <v>8</v>
      </c>
      <c r="I12" s="94">
        <v>9</v>
      </c>
      <c r="J12" s="94">
        <v>10</v>
      </c>
      <c r="K12" s="94">
        <v>11</v>
      </c>
      <c r="L12" s="94">
        <v>12</v>
      </c>
      <c r="M12" s="94">
        <v>13</v>
      </c>
      <c r="N12" s="94">
        <v>9</v>
      </c>
      <c r="O12" s="94">
        <v>10</v>
      </c>
      <c r="P12" s="94">
        <v>16</v>
      </c>
      <c r="Q12" s="94">
        <v>17</v>
      </c>
      <c r="R12" s="94">
        <v>11</v>
      </c>
      <c r="S12" s="94">
        <v>12</v>
      </c>
      <c r="T12" s="94">
        <v>13</v>
      </c>
      <c r="U12" s="94">
        <v>14</v>
      </c>
      <c r="V12" s="95" t="s">
        <v>171</v>
      </c>
      <c r="W12" s="94">
        <v>16</v>
      </c>
      <c r="X12" s="95" t="s">
        <v>173</v>
      </c>
      <c r="Y12" s="94">
        <v>18</v>
      </c>
      <c r="Z12" s="95" t="s">
        <v>209</v>
      </c>
      <c r="AA12" s="94">
        <v>20</v>
      </c>
    </row>
    <row r="13" spans="1:27">
      <c r="A13" s="363" t="s">
        <v>206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5"/>
    </row>
    <row r="14" spans="1:27">
      <c r="A14" s="96">
        <v>1</v>
      </c>
      <c r="B14" s="11" t="s">
        <v>175</v>
      </c>
      <c r="C14" s="97">
        <v>1</v>
      </c>
      <c r="D14" s="98">
        <v>7040</v>
      </c>
      <c r="E14" s="99">
        <v>4</v>
      </c>
      <c r="F14" s="98">
        <f>+D14*E14</f>
        <v>28160</v>
      </c>
      <c r="G14" s="100">
        <v>0.2</v>
      </c>
      <c r="H14" s="98">
        <f>F14*G14</f>
        <v>5632</v>
      </c>
      <c r="I14" s="101"/>
      <c r="J14" s="102"/>
      <c r="K14" s="103"/>
      <c r="L14" s="102"/>
      <c r="M14" s="103"/>
      <c r="N14" s="100">
        <v>0.5</v>
      </c>
      <c r="O14" s="98">
        <f t="shared" ref="O14:O21" si="0">+F14*N14</f>
        <v>14080</v>
      </c>
      <c r="P14" s="104"/>
      <c r="Q14" s="98"/>
      <c r="R14" s="98">
        <f>+F14+H14+I14+K14+M14+O14+Q14</f>
        <v>47872</v>
      </c>
      <c r="S14" s="98">
        <f>R14*C14</f>
        <v>47872</v>
      </c>
      <c r="T14" s="98">
        <f t="shared" ref="T14:T21" si="1">(((S14+(S14*14.0135/12/12)))*3/3/29.6)*30</f>
        <v>53240.584684684683</v>
      </c>
      <c r="U14" s="98">
        <f>S14*2</f>
        <v>95744</v>
      </c>
      <c r="V14" s="98">
        <f>(S14*14.0135)/12</f>
        <v>55904.522666666664</v>
      </c>
      <c r="W14" s="98"/>
      <c r="X14" s="98"/>
      <c r="Y14" s="105">
        <f>(S14*7)+T14+U14+V14</f>
        <v>539993.10735135141</v>
      </c>
      <c r="Z14" s="105">
        <f>((S14*7)+T14+V14)*0.1725</f>
        <v>76632.971018108103</v>
      </c>
      <c r="AA14" s="105">
        <f>Y14+Z14</f>
        <v>616626.07836945949</v>
      </c>
    </row>
    <row r="15" spans="1:27">
      <c r="A15" s="96">
        <v>2</v>
      </c>
      <c r="B15" s="11" t="s">
        <v>176</v>
      </c>
      <c r="C15" s="97">
        <v>1</v>
      </c>
      <c r="D15" s="98">
        <v>7040</v>
      </c>
      <c r="E15" s="99">
        <v>3.05</v>
      </c>
      <c r="F15" s="98">
        <f t="shared" ref="F15:F21" si="2">+D15*E15</f>
        <v>21472</v>
      </c>
      <c r="G15" s="100">
        <v>0.15</v>
      </c>
      <c r="H15" s="98">
        <f t="shared" ref="H15:H21" si="3">F15*G15</f>
        <v>3220.7999999999997</v>
      </c>
      <c r="I15" s="106"/>
      <c r="J15" s="102"/>
      <c r="K15" s="103"/>
      <c r="L15" s="102"/>
      <c r="M15" s="103"/>
      <c r="N15" s="100">
        <v>0.5</v>
      </c>
      <c r="O15" s="98">
        <f t="shared" si="0"/>
        <v>10736</v>
      </c>
      <c r="P15" s="104"/>
      <c r="Q15" s="98"/>
      <c r="R15" s="98">
        <f t="shared" ref="R15:R21" si="4">+F15+H15+I15+K15+M15+O15+Q15</f>
        <v>35428.800000000003</v>
      </c>
      <c r="S15" s="98">
        <f t="shared" ref="S15:S21" si="5">R15*C15</f>
        <v>35428.800000000003</v>
      </c>
      <c r="T15" s="98">
        <f t="shared" si="1"/>
        <v>39401.947415540548</v>
      </c>
      <c r="U15" s="98">
        <f t="shared" ref="U15:U21" si="6">S15*2</f>
        <v>70857.600000000006</v>
      </c>
      <c r="V15" s="98">
        <f t="shared" ref="V15:V21" si="7">(S15*14.0135)/12</f>
        <v>41373.457400000007</v>
      </c>
      <c r="W15" s="98"/>
      <c r="X15" s="98"/>
      <c r="Y15" s="105">
        <f t="shared" ref="Y15:Y21" si="8">(S15*7)+T15+U15+V15</f>
        <v>399634.60481554054</v>
      </c>
      <c r="Z15" s="105">
        <f t="shared" ref="Z15:Z21" si="9">((S15*7)+T15+V15)*0.1725</f>
        <v>56714.033330680744</v>
      </c>
      <c r="AA15" s="105">
        <f t="shared" ref="AA15:AA21" si="10">Y15+Z15</f>
        <v>456348.63814622129</v>
      </c>
    </row>
    <row r="16" spans="1:27">
      <c r="A16" s="96">
        <v>3</v>
      </c>
      <c r="B16" s="11" t="s">
        <v>178</v>
      </c>
      <c r="C16" s="97">
        <v>1</v>
      </c>
      <c r="D16" s="98">
        <v>7040</v>
      </c>
      <c r="E16" s="99">
        <v>2.29</v>
      </c>
      <c r="F16" s="98">
        <f t="shared" si="2"/>
        <v>16121.6</v>
      </c>
      <c r="G16" s="100">
        <v>0.25</v>
      </c>
      <c r="H16" s="98">
        <f t="shared" si="3"/>
        <v>4030.4</v>
      </c>
      <c r="I16" s="106"/>
      <c r="J16" s="106"/>
      <c r="K16" s="106"/>
      <c r="L16" s="102"/>
      <c r="M16" s="103"/>
      <c r="N16" s="100">
        <v>0.5</v>
      </c>
      <c r="O16" s="98">
        <f t="shared" si="0"/>
        <v>8060.8</v>
      </c>
      <c r="P16" s="104"/>
      <c r="Q16" s="98"/>
      <c r="R16" s="98">
        <f t="shared" si="4"/>
        <v>28212.799999999999</v>
      </c>
      <c r="S16" s="98">
        <f t="shared" si="5"/>
        <v>28212.799999999999</v>
      </c>
      <c r="T16" s="98">
        <f t="shared" si="1"/>
        <v>31376.71222409909</v>
      </c>
      <c r="U16" s="98">
        <f t="shared" si="6"/>
        <v>56425.599999999999</v>
      </c>
      <c r="V16" s="98">
        <f t="shared" si="7"/>
        <v>32946.672733333333</v>
      </c>
      <c r="W16" s="98"/>
      <c r="X16" s="98"/>
      <c r="Y16" s="105">
        <f t="shared" si="8"/>
        <v>318238.58495743241</v>
      </c>
      <c r="Z16" s="105">
        <f t="shared" si="9"/>
        <v>45162.73990515709</v>
      </c>
      <c r="AA16" s="105">
        <f t="shared" si="10"/>
        <v>363401.32486258948</v>
      </c>
    </row>
    <row r="17" spans="1:27">
      <c r="A17" s="96">
        <v>4</v>
      </c>
      <c r="B17" s="11" t="s">
        <v>179</v>
      </c>
      <c r="C17" s="97">
        <v>1</v>
      </c>
      <c r="D17" s="98">
        <v>7040</v>
      </c>
      <c r="E17" s="99">
        <v>2.29</v>
      </c>
      <c r="F17" s="98">
        <f t="shared" si="2"/>
        <v>16121.6</v>
      </c>
      <c r="G17" s="100">
        <v>0.2</v>
      </c>
      <c r="H17" s="98">
        <f t="shared" si="3"/>
        <v>3224.32</v>
      </c>
      <c r="I17" s="106"/>
      <c r="J17" s="102"/>
      <c r="K17" s="103"/>
      <c r="L17" s="102"/>
      <c r="M17" s="103"/>
      <c r="N17" s="199">
        <v>0.5</v>
      </c>
      <c r="O17" s="98">
        <f t="shared" si="0"/>
        <v>8060.8</v>
      </c>
      <c r="P17" s="104"/>
      <c r="Q17" s="98"/>
      <c r="R17" s="98">
        <f t="shared" si="4"/>
        <v>27406.720000000001</v>
      </c>
      <c r="S17" s="98">
        <f t="shared" si="5"/>
        <v>27406.720000000001</v>
      </c>
      <c r="T17" s="98">
        <f t="shared" si="1"/>
        <v>30480.234731981982</v>
      </c>
      <c r="U17" s="98">
        <f t="shared" si="6"/>
        <v>54813.440000000002</v>
      </c>
      <c r="V17" s="98">
        <f t="shared" si="7"/>
        <v>32005.339226666667</v>
      </c>
      <c r="W17" s="98"/>
      <c r="X17" s="98"/>
      <c r="Y17" s="105">
        <f t="shared" si="8"/>
        <v>309146.05395864864</v>
      </c>
      <c r="Z17" s="105">
        <f t="shared" si="9"/>
        <v>43872.375907866888</v>
      </c>
      <c r="AA17" s="105">
        <f t="shared" si="10"/>
        <v>353018.42986651551</v>
      </c>
    </row>
    <row r="18" spans="1:27">
      <c r="A18" s="96">
        <v>5</v>
      </c>
      <c r="B18" s="11" t="s">
        <v>179</v>
      </c>
      <c r="C18" s="97">
        <v>1</v>
      </c>
      <c r="D18" s="98">
        <v>7040</v>
      </c>
      <c r="E18" s="99">
        <v>2.29</v>
      </c>
      <c r="F18" s="98">
        <f t="shared" si="2"/>
        <v>16121.6</v>
      </c>
      <c r="G18" s="100">
        <v>0.15</v>
      </c>
      <c r="H18" s="98">
        <f t="shared" si="3"/>
        <v>2418.2399999999998</v>
      </c>
      <c r="I18" s="106"/>
      <c r="J18" s="106"/>
      <c r="K18" s="106"/>
      <c r="L18" s="102"/>
      <c r="M18" s="103"/>
      <c r="N18" s="199">
        <v>0.5</v>
      </c>
      <c r="O18" s="98">
        <f t="shared" si="0"/>
        <v>8060.8</v>
      </c>
      <c r="P18" s="104"/>
      <c r="Q18" s="98"/>
      <c r="R18" s="98">
        <f t="shared" si="4"/>
        <v>26600.639999999999</v>
      </c>
      <c r="S18" s="98">
        <f t="shared" si="5"/>
        <v>26600.639999999999</v>
      </c>
      <c r="T18" s="98">
        <f t="shared" si="1"/>
        <v>29583.757239864855</v>
      </c>
      <c r="U18" s="98">
        <f t="shared" si="6"/>
        <v>53201.279999999999</v>
      </c>
      <c r="V18" s="98">
        <f t="shared" si="7"/>
        <v>31064.005720000001</v>
      </c>
      <c r="W18" s="98"/>
      <c r="X18" s="98"/>
      <c r="Y18" s="105">
        <f t="shared" si="8"/>
        <v>300053.52295986481</v>
      </c>
      <c r="Z18" s="105">
        <f t="shared" si="9"/>
        <v>42582.011910576679</v>
      </c>
      <c r="AA18" s="105">
        <f t="shared" si="10"/>
        <v>342635.53487044148</v>
      </c>
    </row>
    <row r="19" spans="1:27">
      <c r="A19" s="96">
        <v>6</v>
      </c>
      <c r="B19" s="11" t="s">
        <v>180</v>
      </c>
      <c r="C19" s="140">
        <v>1</v>
      </c>
      <c r="D19" s="134">
        <v>7040</v>
      </c>
      <c r="E19" s="141">
        <v>2.29</v>
      </c>
      <c r="F19" s="134">
        <f t="shared" si="2"/>
        <v>16121.6</v>
      </c>
      <c r="G19" s="142">
        <v>0.05</v>
      </c>
      <c r="H19" s="134">
        <f t="shared" si="3"/>
        <v>806.08</v>
      </c>
      <c r="I19" s="143"/>
      <c r="J19" s="144"/>
      <c r="K19" s="145"/>
      <c r="L19" s="144"/>
      <c r="M19" s="145"/>
      <c r="N19" s="142">
        <v>0.5</v>
      </c>
      <c r="O19" s="134">
        <f t="shared" si="0"/>
        <v>8060.8</v>
      </c>
      <c r="P19" s="146"/>
      <c r="Q19" s="134"/>
      <c r="R19" s="134">
        <f t="shared" si="4"/>
        <v>24988.48</v>
      </c>
      <c r="S19" s="134">
        <f t="shared" si="5"/>
        <v>24988.48</v>
      </c>
      <c r="T19" s="134">
        <f t="shared" si="1"/>
        <v>27790.802255630624</v>
      </c>
      <c r="U19" s="134">
        <f t="shared" si="6"/>
        <v>49976.959999999999</v>
      </c>
      <c r="V19" s="134">
        <f t="shared" si="7"/>
        <v>29181.338706666666</v>
      </c>
      <c r="W19" s="134"/>
      <c r="X19" s="134"/>
      <c r="Y19" s="105">
        <f t="shared" si="8"/>
        <v>281868.46096229728</v>
      </c>
      <c r="Z19" s="105">
        <f t="shared" si="9"/>
        <v>40001.283915996275</v>
      </c>
      <c r="AA19" s="147">
        <f t="shared" si="10"/>
        <v>321869.74487829354</v>
      </c>
    </row>
    <row r="20" spans="1:27">
      <c r="A20" s="96">
        <v>7</v>
      </c>
      <c r="B20" s="107" t="s">
        <v>181</v>
      </c>
      <c r="C20" s="140">
        <v>1</v>
      </c>
      <c r="D20" s="134">
        <v>7040</v>
      </c>
      <c r="E20" s="141">
        <v>2.29</v>
      </c>
      <c r="F20" s="134">
        <f t="shared" si="2"/>
        <v>16121.6</v>
      </c>
      <c r="G20" s="142">
        <v>0.15</v>
      </c>
      <c r="H20" s="134">
        <f t="shared" si="3"/>
        <v>2418.2399999999998</v>
      </c>
      <c r="I20" s="143"/>
      <c r="J20" s="144"/>
      <c r="K20" s="145"/>
      <c r="L20" s="144"/>
      <c r="M20" s="145"/>
      <c r="N20" s="142">
        <v>0.5</v>
      </c>
      <c r="O20" s="134">
        <f t="shared" si="0"/>
        <v>8060.8</v>
      </c>
      <c r="P20" s="146"/>
      <c r="Q20" s="134"/>
      <c r="R20" s="134">
        <f t="shared" si="4"/>
        <v>26600.639999999999</v>
      </c>
      <c r="S20" s="134">
        <f t="shared" si="5"/>
        <v>26600.639999999999</v>
      </c>
      <c r="T20" s="134">
        <f t="shared" si="1"/>
        <v>29583.757239864855</v>
      </c>
      <c r="U20" s="134">
        <f t="shared" si="6"/>
        <v>53201.279999999999</v>
      </c>
      <c r="V20" s="134">
        <f t="shared" si="7"/>
        <v>31064.005720000001</v>
      </c>
      <c r="W20" s="134"/>
      <c r="X20" s="134"/>
      <c r="Y20" s="105">
        <f t="shared" si="8"/>
        <v>300053.52295986481</v>
      </c>
      <c r="Z20" s="105">
        <f t="shared" si="9"/>
        <v>42582.011910576679</v>
      </c>
      <c r="AA20" s="147">
        <f t="shared" si="10"/>
        <v>342635.53487044148</v>
      </c>
    </row>
    <row r="21" spans="1:27" ht="25.5">
      <c r="A21" s="96">
        <v>8</v>
      </c>
      <c r="B21" s="108" t="s">
        <v>182</v>
      </c>
      <c r="C21" s="148">
        <v>0.5</v>
      </c>
      <c r="D21" s="134">
        <v>7040</v>
      </c>
      <c r="E21" s="141">
        <v>2.29</v>
      </c>
      <c r="F21" s="134">
        <f t="shared" si="2"/>
        <v>16121.6</v>
      </c>
      <c r="G21" s="142">
        <v>0</v>
      </c>
      <c r="H21" s="134">
        <f t="shared" si="3"/>
        <v>0</v>
      </c>
      <c r="I21" s="143"/>
      <c r="J21" s="144"/>
      <c r="K21" s="145"/>
      <c r="L21" s="144"/>
      <c r="M21" s="145"/>
      <c r="N21" s="142">
        <v>0.5</v>
      </c>
      <c r="O21" s="134">
        <f t="shared" si="0"/>
        <v>8060.8</v>
      </c>
      <c r="P21" s="146"/>
      <c r="Q21" s="134"/>
      <c r="R21" s="134">
        <f t="shared" si="4"/>
        <v>24182.400000000001</v>
      </c>
      <c r="S21" s="134">
        <f t="shared" si="5"/>
        <v>12091.2</v>
      </c>
      <c r="T21" s="134">
        <f t="shared" si="1"/>
        <v>13447.162381756756</v>
      </c>
      <c r="U21" s="134">
        <f t="shared" si="6"/>
        <v>24182.400000000001</v>
      </c>
      <c r="V21" s="134">
        <f t="shared" si="7"/>
        <v>14120.002600000002</v>
      </c>
      <c r="W21" s="134"/>
      <c r="X21" s="134"/>
      <c r="Y21" s="105">
        <f t="shared" si="8"/>
        <v>136387.96498175678</v>
      </c>
      <c r="Z21" s="105">
        <f t="shared" si="9"/>
        <v>19355.459959353044</v>
      </c>
      <c r="AA21" s="147">
        <f t="shared" si="10"/>
        <v>155743.42494110984</v>
      </c>
    </row>
    <row r="22" spans="1:27" s="112" customFormat="1" ht="25.5">
      <c r="A22" s="110"/>
      <c r="B22" s="111" t="s">
        <v>207</v>
      </c>
      <c r="C22" s="149">
        <f>SUM(C14:C20)+C21</f>
        <v>7.5</v>
      </c>
      <c r="D22" s="150">
        <f>SUM(D14:D20)+D21</f>
        <v>56320</v>
      </c>
      <c r="E22" s="151"/>
      <c r="F22" s="150">
        <f>SUM(F14:F20)+F21</f>
        <v>146361.60000000003</v>
      </c>
      <c r="G22" s="151"/>
      <c r="H22" s="150">
        <f t="shared" ref="H22:M22" si="11">SUM(H14:H20)+H21</f>
        <v>21750.080000000002</v>
      </c>
      <c r="I22" s="151">
        <f t="shared" si="11"/>
        <v>0</v>
      </c>
      <c r="J22" s="151">
        <f t="shared" si="11"/>
        <v>0</v>
      </c>
      <c r="K22" s="151">
        <f t="shared" si="11"/>
        <v>0</v>
      </c>
      <c r="L22" s="151">
        <f t="shared" si="11"/>
        <v>0</v>
      </c>
      <c r="M22" s="151">
        <f t="shared" si="11"/>
        <v>0</v>
      </c>
      <c r="N22" s="151"/>
      <c r="O22" s="150">
        <f t="shared" ref="O22:V22" si="12">SUM(O14:O20)+O21</f>
        <v>73180.800000000017</v>
      </c>
      <c r="P22" s="150">
        <f t="shared" si="12"/>
        <v>0</v>
      </c>
      <c r="Q22" s="150">
        <f t="shared" si="12"/>
        <v>0</v>
      </c>
      <c r="R22" s="150">
        <f t="shared" si="12"/>
        <v>241292.48</v>
      </c>
      <c r="S22" s="150">
        <f t="shared" si="12"/>
        <v>229201.28000000003</v>
      </c>
      <c r="T22" s="150">
        <f t="shared" si="12"/>
        <v>254904.95817342337</v>
      </c>
      <c r="U22" s="150">
        <f t="shared" si="12"/>
        <v>458402.56000000006</v>
      </c>
      <c r="V22" s="150">
        <f t="shared" si="12"/>
        <v>267659.34477333335</v>
      </c>
      <c r="W22" s="150">
        <f t="shared" ref="W22:X22" si="13">SUM(W14:W20)+W21</f>
        <v>0</v>
      </c>
      <c r="X22" s="150">
        <f t="shared" si="13"/>
        <v>0</v>
      </c>
      <c r="Y22" s="150">
        <f>SUM(Y14:Y20)+Y21</f>
        <v>2585375.8229467566</v>
      </c>
      <c r="Z22" s="150">
        <f>SUM(Z14:Z20)+Z21</f>
        <v>366902.88785831549</v>
      </c>
      <c r="AA22" s="150">
        <f>SUM(AA14:AA20)+AA21</f>
        <v>2952278.7108050724</v>
      </c>
    </row>
    <row r="23" spans="1:27">
      <c r="A23" s="96">
        <v>9</v>
      </c>
      <c r="B23" s="11" t="s">
        <v>177</v>
      </c>
      <c r="C23" s="140">
        <v>1</v>
      </c>
      <c r="D23" s="134">
        <v>7040</v>
      </c>
      <c r="E23" s="141">
        <v>3.43</v>
      </c>
      <c r="F23" s="134">
        <f t="shared" ref="F23" si="14">+D23*E23</f>
        <v>24147.200000000001</v>
      </c>
      <c r="G23" s="142">
        <v>0.4</v>
      </c>
      <c r="H23" s="134">
        <f t="shared" ref="H23" si="15">F23*G23</f>
        <v>9658.880000000001</v>
      </c>
      <c r="I23" s="143"/>
      <c r="J23" s="143"/>
      <c r="K23" s="143"/>
      <c r="L23" s="144"/>
      <c r="M23" s="145"/>
      <c r="N23" s="142">
        <v>0.5</v>
      </c>
      <c r="O23" s="134">
        <f t="shared" ref="O23" si="16">+F23*N23</f>
        <v>12073.6</v>
      </c>
      <c r="P23" s="146"/>
      <c r="Q23" s="134"/>
      <c r="R23" s="134">
        <f t="shared" ref="R23" si="17">+F23+H23+I23+K23+M23+O23+Q23</f>
        <v>45879.68</v>
      </c>
      <c r="S23" s="134">
        <f t="shared" ref="S23" si="18">R23*C23</f>
        <v>45879.68</v>
      </c>
      <c r="T23" s="134">
        <f t="shared" ref="T23" si="19">(((S23+(S23*14.0135/12/12)))*3/3/29.6)*30</f>
        <v>51024.836822072073</v>
      </c>
      <c r="U23" s="134">
        <f t="shared" ref="U23" si="20">S23*2</f>
        <v>91759.360000000001</v>
      </c>
      <c r="V23" s="134">
        <f t="shared" ref="V23" si="21">(S23*14.0135)/12</f>
        <v>53577.907973333342</v>
      </c>
      <c r="W23" s="134"/>
      <c r="X23" s="134"/>
      <c r="Y23" s="105">
        <f>(S23*7)+T23+U23+V23</f>
        <v>517519.86479540536</v>
      </c>
      <c r="Z23" s="105">
        <f>((S23*7)+T23+V23)*0.1725</f>
        <v>73443.687077207418</v>
      </c>
      <c r="AA23" s="147">
        <f t="shared" ref="AA23" si="22">Y23+Z23</f>
        <v>590963.55187261279</v>
      </c>
    </row>
    <row r="24" spans="1:27" s="112" customFormat="1">
      <c r="A24" s="110"/>
      <c r="B24" s="111" t="s">
        <v>195</v>
      </c>
      <c r="C24" s="149">
        <f>+C23</f>
        <v>1</v>
      </c>
      <c r="D24" s="150">
        <f t="shared" ref="D24:AA24" si="23">+D23</f>
        <v>7040</v>
      </c>
      <c r="E24" s="151"/>
      <c r="F24" s="150">
        <f t="shared" si="23"/>
        <v>24147.200000000001</v>
      </c>
      <c r="G24" s="151"/>
      <c r="H24" s="150">
        <f t="shared" si="23"/>
        <v>9658.880000000001</v>
      </c>
      <c r="I24" s="151">
        <f t="shared" si="23"/>
        <v>0</v>
      </c>
      <c r="J24" s="151">
        <f t="shared" si="23"/>
        <v>0</v>
      </c>
      <c r="K24" s="151">
        <f t="shared" si="23"/>
        <v>0</v>
      </c>
      <c r="L24" s="151">
        <f t="shared" si="23"/>
        <v>0</v>
      </c>
      <c r="M24" s="151">
        <f t="shared" si="23"/>
        <v>0</v>
      </c>
      <c r="N24" s="151"/>
      <c r="O24" s="150">
        <f t="shared" si="23"/>
        <v>12073.6</v>
      </c>
      <c r="P24" s="150">
        <f t="shared" si="23"/>
        <v>0</v>
      </c>
      <c r="Q24" s="150">
        <f t="shared" si="23"/>
        <v>0</v>
      </c>
      <c r="R24" s="150">
        <f t="shared" si="23"/>
        <v>45879.68</v>
      </c>
      <c r="S24" s="150">
        <f t="shared" si="23"/>
        <v>45879.68</v>
      </c>
      <c r="T24" s="150">
        <f t="shared" si="23"/>
        <v>51024.836822072073</v>
      </c>
      <c r="U24" s="150">
        <f t="shared" si="23"/>
        <v>91759.360000000001</v>
      </c>
      <c r="V24" s="150">
        <f t="shared" si="23"/>
        <v>53577.907973333342</v>
      </c>
      <c r="W24" s="150">
        <f t="shared" ref="W24" si="24">+W23</f>
        <v>0</v>
      </c>
      <c r="X24" s="150">
        <f t="shared" ref="X24" si="25">+X23</f>
        <v>0</v>
      </c>
      <c r="Y24" s="150">
        <f t="shared" si="23"/>
        <v>517519.86479540536</v>
      </c>
      <c r="Z24" s="150">
        <f t="shared" si="23"/>
        <v>73443.687077207418</v>
      </c>
      <c r="AA24" s="150">
        <f t="shared" si="23"/>
        <v>590963.55187261279</v>
      </c>
    </row>
    <row r="25" spans="1:27" s="112" customFormat="1">
      <c r="A25" s="110"/>
      <c r="B25" s="111" t="s">
        <v>22</v>
      </c>
      <c r="C25" s="149">
        <f>+C22+C24</f>
        <v>8.5</v>
      </c>
      <c r="D25" s="150">
        <f t="shared" ref="D25:AA25" si="26">+D22+D24</f>
        <v>63360</v>
      </c>
      <c r="E25" s="151"/>
      <c r="F25" s="150">
        <f t="shared" si="26"/>
        <v>170508.80000000005</v>
      </c>
      <c r="G25" s="151"/>
      <c r="H25" s="150">
        <f t="shared" si="26"/>
        <v>31408.960000000003</v>
      </c>
      <c r="I25" s="151">
        <f t="shared" si="26"/>
        <v>0</v>
      </c>
      <c r="J25" s="151">
        <f t="shared" si="26"/>
        <v>0</v>
      </c>
      <c r="K25" s="151">
        <f t="shared" si="26"/>
        <v>0</v>
      </c>
      <c r="L25" s="151">
        <f t="shared" si="26"/>
        <v>0</v>
      </c>
      <c r="M25" s="151">
        <f t="shared" si="26"/>
        <v>0</v>
      </c>
      <c r="N25" s="151"/>
      <c r="O25" s="150">
        <f t="shared" si="26"/>
        <v>85254.400000000023</v>
      </c>
      <c r="P25" s="150">
        <f t="shared" si="26"/>
        <v>0</v>
      </c>
      <c r="Q25" s="150">
        <f t="shared" si="26"/>
        <v>0</v>
      </c>
      <c r="R25" s="150">
        <f t="shared" si="26"/>
        <v>287172.16000000003</v>
      </c>
      <c r="S25" s="150">
        <f t="shared" si="26"/>
        <v>275080.96000000002</v>
      </c>
      <c r="T25" s="150">
        <f t="shared" si="26"/>
        <v>305929.79499549547</v>
      </c>
      <c r="U25" s="150">
        <f t="shared" si="26"/>
        <v>550161.92000000004</v>
      </c>
      <c r="V25" s="150">
        <f t="shared" si="26"/>
        <v>321237.25274666667</v>
      </c>
      <c r="W25" s="150">
        <f t="shared" ref="W25" si="27">+W22+W24</f>
        <v>0</v>
      </c>
      <c r="X25" s="150">
        <f t="shared" ref="X25" si="28">+X22+X24</f>
        <v>0</v>
      </c>
      <c r="Y25" s="150">
        <f t="shared" si="26"/>
        <v>3102895.687742162</v>
      </c>
      <c r="Z25" s="150">
        <f t="shared" si="26"/>
        <v>440346.57493552292</v>
      </c>
      <c r="AA25" s="150">
        <f t="shared" si="26"/>
        <v>3543242.2626776854</v>
      </c>
    </row>
    <row r="26" spans="1:27">
      <c r="A26" s="363" t="s">
        <v>210</v>
      </c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5"/>
    </row>
    <row r="27" spans="1:27">
      <c r="A27" s="96">
        <v>1</v>
      </c>
      <c r="B27" s="11" t="s">
        <v>175</v>
      </c>
      <c r="C27" s="97">
        <v>1</v>
      </c>
      <c r="D27" s="98">
        <v>7040</v>
      </c>
      <c r="E27" s="99">
        <v>4</v>
      </c>
      <c r="F27" s="98">
        <f>+D27*E27</f>
        <v>28160</v>
      </c>
      <c r="G27" s="100">
        <v>0.2</v>
      </c>
      <c r="H27" s="98">
        <f>F27*G27</f>
        <v>5632</v>
      </c>
      <c r="I27" s="101"/>
      <c r="J27" s="102"/>
      <c r="K27" s="103"/>
      <c r="L27" s="102"/>
      <c r="M27" s="103"/>
      <c r="N27" s="100">
        <v>0.5</v>
      </c>
      <c r="O27" s="98">
        <f t="shared" ref="O27:O34" si="29">+F27*N27</f>
        <v>14080</v>
      </c>
      <c r="P27" s="104"/>
      <c r="Q27" s="98"/>
      <c r="R27" s="98">
        <f>+F27+H27+I27+K27+M27+O27+Q27</f>
        <v>47872</v>
      </c>
      <c r="S27" s="98">
        <f>R27*C27</f>
        <v>47872</v>
      </c>
      <c r="T27" s="98">
        <f t="shared" ref="T27:T34" si="30">(((S27+(S27*14.0135/12/12)))*3/3/29.6)*30</f>
        <v>53240.584684684683</v>
      </c>
      <c r="U27" s="98">
        <f>S27*2</f>
        <v>95744</v>
      </c>
      <c r="V27" s="98">
        <f>(S27*14.0135)/12</f>
        <v>55904.522666666664</v>
      </c>
      <c r="W27" s="98"/>
      <c r="X27" s="98"/>
      <c r="Y27" s="105">
        <f>(S27*7)+T27+U27+V27+X27</f>
        <v>539993.10735135141</v>
      </c>
      <c r="Z27" s="105">
        <f>((S27*7)+T27+V27)*0.1725</f>
        <v>76632.971018108103</v>
      </c>
      <c r="AA27" s="105">
        <f>Y27+Z27</f>
        <v>616626.07836945949</v>
      </c>
    </row>
    <row r="28" spans="1:27">
      <c r="A28" s="96">
        <v>2</v>
      </c>
      <c r="B28" s="11" t="s">
        <v>176</v>
      </c>
      <c r="C28" s="97">
        <v>1</v>
      </c>
      <c r="D28" s="98">
        <v>7040</v>
      </c>
      <c r="E28" s="99">
        <v>3.05</v>
      </c>
      <c r="F28" s="98">
        <f t="shared" ref="F28:F34" si="31">+D28*E28</f>
        <v>21472</v>
      </c>
      <c r="G28" s="100">
        <v>0.15</v>
      </c>
      <c r="H28" s="98">
        <f t="shared" ref="H28:H34" si="32">F28*G28</f>
        <v>3220.7999999999997</v>
      </c>
      <c r="I28" s="106"/>
      <c r="J28" s="102"/>
      <c r="K28" s="103"/>
      <c r="L28" s="102"/>
      <c r="M28" s="103"/>
      <c r="N28" s="100">
        <v>0.5</v>
      </c>
      <c r="O28" s="98">
        <f t="shared" si="29"/>
        <v>10736</v>
      </c>
      <c r="P28" s="104"/>
      <c r="Q28" s="98"/>
      <c r="R28" s="98">
        <f t="shared" ref="R28:R34" si="33">+F28+H28+I28+K28+M28+O28+Q28</f>
        <v>35428.800000000003</v>
      </c>
      <c r="S28" s="98">
        <f t="shared" ref="S28:S34" si="34">R28*C28</f>
        <v>35428.800000000003</v>
      </c>
      <c r="T28" s="98">
        <f t="shared" si="30"/>
        <v>39401.947415540548</v>
      </c>
      <c r="U28" s="98">
        <f t="shared" ref="U28:U34" si="35">S28*2</f>
        <v>70857.600000000006</v>
      </c>
      <c r="V28" s="98">
        <f t="shared" ref="V28:V34" si="36">(S28*14.0135)/12</f>
        <v>41373.457400000007</v>
      </c>
      <c r="W28" s="98"/>
      <c r="X28" s="98"/>
      <c r="Y28" s="105">
        <f t="shared" ref="Y28:Y34" si="37">(S28*7)+T28+U28+V28+X28</f>
        <v>399634.60481554054</v>
      </c>
      <c r="Z28" s="105">
        <f t="shared" ref="Z28:Z34" si="38">((S28*7)+T28+V28)*0.1725</f>
        <v>56714.033330680744</v>
      </c>
      <c r="AA28" s="105">
        <f t="shared" ref="AA28:AA34" si="39">Y28+Z28</f>
        <v>456348.63814622129</v>
      </c>
    </row>
    <row r="29" spans="1:27">
      <c r="A29" s="96">
        <v>3</v>
      </c>
      <c r="B29" s="11" t="s">
        <v>178</v>
      </c>
      <c r="C29" s="97">
        <v>1</v>
      </c>
      <c r="D29" s="98">
        <v>7040</v>
      </c>
      <c r="E29" s="99">
        <v>2.81</v>
      </c>
      <c r="F29" s="98">
        <f t="shared" si="31"/>
        <v>19782.400000000001</v>
      </c>
      <c r="G29" s="100">
        <v>0.25</v>
      </c>
      <c r="H29" s="98">
        <f t="shared" si="32"/>
        <v>4945.6000000000004</v>
      </c>
      <c r="I29" s="106"/>
      <c r="J29" s="106"/>
      <c r="K29" s="106"/>
      <c r="L29" s="102"/>
      <c r="M29" s="103"/>
      <c r="N29" s="100">
        <v>0.5</v>
      </c>
      <c r="O29" s="98">
        <f t="shared" si="29"/>
        <v>9891.2000000000007</v>
      </c>
      <c r="P29" s="104"/>
      <c r="Q29" s="98"/>
      <c r="R29" s="98">
        <f t="shared" si="33"/>
        <v>34619.199999999997</v>
      </c>
      <c r="S29" s="98">
        <f t="shared" si="34"/>
        <v>34619.199999999997</v>
      </c>
      <c r="T29" s="98">
        <f t="shared" si="30"/>
        <v>38501.555174549547</v>
      </c>
      <c r="U29" s="98">
        <f t="shared" si="35"/>
        <v>69238.399999999994</v>
      </c>
      <c r="V29" s="98">
        <f t="shared" si="36"/>
        <v>40428.013266666669</v>
      </c>
      <c r="W29" s="98"/>
      <c r="X29" s="98"/>
      <c r="Y29" s="105">
        <f t="shared" si="37"/>
        <v>390502.36844121618</v>
      </c>
      <c r="Z29" s="105">
        <f t="shared" si="38"/>
        <v>55418.034556109786</v>
      </c>
      <c r="AA29" s="105">
        <f t="shared" si="39"/>
        <v>445920.40299732599</v>
      </c>
    </row>
    <row r="30" spans="1:27">
      <c r="A30" s="96">
        <v>4</v>
      </c>
      <c r="B30" s="11" t="s">
        <v>179</v>
      </c>
      <c r="C30" s="97">
        <v>1</v>
      </c>
      <c r="D30" s="98">
        <v>7040</v>
      </c>
      <c r="E30" s="99">
        <v>2.81</v>
      </c>
      <c r="F30" s="98">
        <f t="shared" si="31"/>
        <v>19782.400000000001</v>
      </c>
      <c r="G30" s="100">
        <v>0.2</v>
      </c>
      <c r="H30" s="98">
        <f t="shared" si="32"/>
        <v>3956.4800000000005</v>
      </c>
      <c r="I30" s="106"/>
      <c r="J30" s="102"/>
      <c r="K30" s="103"/>
      <c r="L30" s="102"/>
      <c r="M30" s="103"/>
      <c r="N30" s="199">
        <v>0.8</v>
      </c>
      <c r="O30" s="98">
        <f t="shared" si="29"/>
        <v>15825.920000000002</v>
      </c>
      <c r="P30" s="104"/>
      <c r="Q30" s="98"/>
      <c r="R30" s="98">
        <f t="shared" si="33"/>
        <v>39564.800000000003</v>
      </c>
      <c r="S30" s="98">
        <f t="shared" si="34"/>
        <v>39564.800000000003</v>
      </c>
      <c r="T30" s="98">
        <f t="shared" si="30"/>
        <v>44001.777342342342</v>
      </c>
      <c r="U30" s="98">
        <f t="shared" si="35"/>
        <v>79129.600000000006</v>
      </c>
      <c r="V30" s="98">
        <f t="shared" si="36"/>
        <v>46203.443733333341</v>
      </c>
      <c r="W30" s="98"/>
      <c r="X30" s="98"/>
      <c r="Y30" s="105">
        <f t="shared" si="37"/>
        <v>446288.42107567569</v>
      </c>
      <c r="Z30" s="105">
        <f t="shared" si="38"/>
        <v>63334.896635554054</v>
      </c>
      <c r="AA30" s="105">
        <f t="shared" si="39"/>
        <v>509623.31771122973</v>
      </c>
    </row>
    <row r="31" spans="1:27">
      <c r="A31" s="96">
        <v>5</v>
      </c>
      <c r="B31" s="11" t="s">
        <v>179</v>
      </c>
      <c r="C31" s="97">
        <v>1</v>
      </c>
      <c r="D31" s="98">
        <v>7040</v>
      </c>
      <c r="E31" s="99">
        <v>2.81</v>
      </c>
      <c r="F31" s="98">
        <f t="shared" si="31"/>
        <v>19782.400000000001</v>
      </c>
      <c r="G31" s="100">
        <v>0.15</v>
      </c>
      <c r="H31" s="98">
        <f t="shared" si="32"/>
        <v>2967.36</v>
      </c>
      <c r="I31" s="106"/>
      <c r="J31" s="106"/>
      <c r="K31" s="106"/>
      <c r="L31" s="102"/>
      <c r="M31" s="103"/>
      <c r="N31" s="199">
        <v>0.8</v>
      </c>
      <c r="O31" s="98">
        <f t="shared" si="29"/>
        <v>15825.920000000002</v>
      </c>
      <c r="P31" s="104"/>
      <c r="Q31" s="98"/>
      <c r="R31" s="98">
        <f t="shared" si="33"/>
        <v>38575.680000000008</v>
      </c>
      <c r="S31" s="98">
        <f t="shared" si="34"/>
        <v>38575.680000000008</v>
      </c>
      <c r="T31" s="98">
        <f t="shared" si="30"/>
        <v>42901.732908783786</v>
      </c>
      <c r="U31" s="98">
        <f t="shared" si="35"/>
        <v>77151.360000000015</v>
      </c>
      <c r="V31" s="98">
        <f t="shared" si="36"/>
        <v>45048.357640000009</v>
      </c>
      <c r="W31" s="98"/>
      <c r="X31" s="98"/>
      <c r="Y31" s="105">
        <f t="shared" si="37"/>
        <v>435131.21054878383</v>
      </c>
      <c r="Z31" s="105">
        <f t="shared" si="38"/>
        <v>61751.524219665211</v>
      </c>
      <c r="AA31" s="105">
        <f t="shared" si="39"/>
        <v>496882.73476844904</v>
      </c>
    </row>
    <row r="32" spans="1:27">
      <c r="A32" s="96">
        <v>6</v>
      </c>
      <c r="B32" s="11" t="s">
        <v>180</v>
      </c>
      <c r="C32" s="140">
        <v>1</v>
      </c>
      <c r="D32" s="134">
        <v>7040</v>
      </c>
      <c r="E32" s="99">
        <v>2.81</v>
      </c>
      <c r="F32" s="134">
        <f t="shared" si="31"/>
        <v>19782.400000000001</v>
      </c>
      <c r="G32" s="142">
        <v>0.05</v>
      </c>
      <c r="H32" s="134">
        <f t="shared" si="32"/>
        <v>989.12000000000012</v>
      </c>
      <c r="I32" s="143"/>
      <c r="J32" s="144"/>
      <c r="K32" s="145"/>
      <c r="L32" s="144"/>
      <c r="M32" s="145"/>
      <c r="N32" s="142">
        <v>0.5</v>
      </c>
      <c r="O32" s="134">
        <f t="shared" si="29"/>
        <v>9891.2000000000007</v>
      </c>
      <c r="P32" s="146"/>
      <c r="Q32" s="134"/>
      <c r="R32" s="134">
        <f t="shared" si="33"/>
        <v>30662.720000000001</v>
      </c>
      <c r="S32" s="134">
        <f t="shared" si="34"/>
        <v>30662.720000000001</v>
      </c>
      <c r="T32" s="134">
        <f t="shared" si="30"/>
        <v>34101.377440315315</v>
      </c>
      <c r="U32" s="134">
        <f t="shared" si="35"/>
        <v>61325.440000000002</v>
      </c>
      <c r="V32" s="134">
        <f t="shared" si="36"/>
        <v>35807.668893333335</v>
      </c>
      <c r="W32" s="134"/>
      <c r="X32" s="134"/>
      <c r="Y32" s="105">
        <f t="shared" si="37"/>
        <v>345873.52633364865</v>
      </c>
      <c r="Z32" s="105">
        <f t="shared" si="38"/>
        <v>49084.54489255439</v>
      </c>
      <c r="AA32" s="147">
        <f t="shared" si="39"/>
        <v>394958.07122620306</v>
      </c>
    </row>
    <row r="33" spans="1:30">
      <c r="A33" s="96">
        <v>7</v>
      </c>
      <c r="B33" s="107" t="s">
        <v>181</v>
      </c>
      <c r="C33" s="140">
        <v>1</v>
      </c>
      <c r="D33" s="134">
        <v>7040</v>
      </c>
      <c r="E33" s="99">
        <v>2.81</v>
      </c>
      <c r="F33" s="134">
        <f t="shared" si="31"/>
        <v>19782.400000000001</v>
      </c>
      <c r="G33" s="142">
        <v>0.15</v>
      </c>
      <c r="H33" s="134">
        <f t="shared" si="32"/>
        <v>2967.36</v>
      </c>
      <c r="I33" s="143"/>
      <c r="J33" s="144"/>
      <c r="K33" s="145"/>
      <c r="L33" s="144"/>
      <c r="M33" s="145"/>
      <c r="N33" s="142">
        <v>0.5</v>
      </c>
      <c r="O33" s="134">
        <f t="shared" si="29"/>
        <v>9891.2000000000007</v>
      </c>
      <c r="P33" s="146"/>
      <c r="Q33" s="134"/>
      <c r="R33" s="134">
        <f t="shared" si="33"/>
        <v>32640.960000000003</v>
      </c>
      <c r="S33" s="134">
        <f t="shared" si="34"/>
        <v>32640.960000000003</v>
      </c>
      <c r="T33" s="134">
        <f t="shared" si="30"/>
        <v>36301.466307432434</v>
      </c>
      <c r="U33" s="134">
        <f t="shared" si="35"/>
        <v>65281.920000000006</v>
      </c>
      <c r="V33" s="134">
        <f t="shared" si="36"/>
        <v>38117.841080000006</v>
      </c>
      <c r="W33" s="134"/>
      <c r="X33" s="134"/>
      <c r="Y33" s="105">
        <f t="shared" si="37"/>
        <v>368187.94738743245</v>
      </c>
      <c r="Z33" s="105">
        <f t="shared" si="38"/>
        <v>52251.289724332099</v>
      </c>
      <c r="AA33" s="147">
        <f t="shared" si="39"/>
        <v>420439.23711176455</v>
      </c>
    </row>
    <row r="34" spans="1:30" ht="25.5">
      <c r="A34" s="96">
        <v>8</v>
      </c>
      <c r="B34" s="108" t="s">
        <v>182</v>
      </c>
      <c r="C34" s="148">
        <v>0.5</v>
      </c>
      <c r="D34" s="134">
        <v>7040</v>
      </c>
      <c r="E34" s="99">
        <v>2.81</v>
      </c>
      <c r="F34" s="134">
        <f t="shared" si="31"/>
        <v>19782.400000000001</v>
      </c>
      <c r="G34" s="142">
        <v>0</v>
      </c>
      <c r="H34" s="134">
        <f t="shared" si="32"/>
        <v>0</v>
      </c>
      <c r="I34" s="143"/>
      <c r="J34" s="144"/>
      <c r="K34" s="145"/>
      <c r="L34" s="144"/>
      <c r="M34" s="145"/>
      <c r="N34" s="142">
        <v>0.5</v>
      </c>
      <c r="O34" s="134">
        <f t="shared" si="29"/>
        <v>9891.2000000000007</v>
      </c>
      <c r="P34" s="146"/>
      <c r="Q34" s="134"/>
      <c r="R34" s="134">
        <f t="shared" si="33"/>
        <v>29673.600000000002</v>
      </c>
      <c r="S34" s="134">
        <f t="shared" si="34"/>
        <v>14836.800000000001</v>
      </c>
      <c r="T34" s="134">
        <f t="shared" si="30"/>
        <v>16500.666503378379</v>
      </c>
      <c r="U34" s="134">
        <f t="shared" si="35"/>
        <v>29673.600000000002</v>
      </c>
      <c r="V34" s="134">
        <f t="shared" si="36"/>
        <v>17326.291400000002</v>
      </c>
      <c r="W34" s="134"/>
      <c r="X34" s="134"/>
      <c r="Y34" s="105">
        <f t="shared" si="37"/>
        <v>167358.15790337836</v>
      </c>
      <c r="Z34" s="105">
        <f t="shared" si="38"/>
        <v>23750.586238332769</v>
      </c>
      <c r="AA34" s="147">
        <f t="shared" si="39"/>
        <v>191108.74414171113</v>
      </c>
    </row>
    <row r="35" spans="1:30" s="112" customFormat="1" ht="25.5">
      <c r="A35" s="110"/>
      <c r="B35" s="111" t="s">
        <v>207</v>
      </c>
      <c r="C35" s="149">
        <f>SUM(C27:C33)+C34</f>
        <v>7.5</v>
      </c>
      <c r="D35" s="150">
        <f>SUM(D27:D33)+D34</f>
        <v>56320</v>
      </c>
      <c r="E35" s="151"/>
      <c r="F35" s="150">
        <f>SUM(F27:F33)+F34</f>
        <v>168326.39999999997</v>
      </c>
      <c r="G35" s="151"/>
      <c r="H35" s="150">
        <f t="shared" ref="H35:M35" si="40">SUM(H27:H33)+H34</f>
        <v>24678.720000000001</v>
      </c>
      <c r="I35" s="151">
        <f t="shared" si="40"/>
        <v>0</v>
      </c>
      <c r="J35" s="151">
        <f t="shared" si="40"/>
        <v>0</v>
      </c>
      <c r="K35" s="151">
        <f t="shared" si="40"/>
        <v>0</v>
      </c>
      <c r="L35" s="151">
        <f t="shared" si="40"/>
        <v>0</v>
      </c>
      <c r="M35" s="151">
        <f t="shared" si="40"/>
        <v>0</v>
      </c>
      <c r="N35" s="151"/>
      <c r="O35" s="150">
        <f t="shared" ref="O35:V35" si="41">SUM(O27:O33)+O34</f>
        <v>96032.639999999985</v>
      </c>
      <c r="P35" s="150">
        <f t="shared" si="41"/>
        <v>0</v>
      </c>
      <c r="Q35" s="150">
        <f t="shared" si="41"/>
        <v>0</v>
      </c>
      <c r="R35" s="150">
        <f t="shared" si="41"/>
        <v>289037.75999999995</v>
      </c>
      <c r="S35" s="150">
        <f t="shared" si="41"/>
        <v>274200.95999999996</v>
      </c>
      <c r="T35" s="150">
        <f t="shared" si="41"/>
        <v>304951.10777702706</v>
      </c>
      <c r="U35" s="150">
        <f t="shared" si="41"/>
        <v>548401.91999999993</v>
      </c>
      <c r="V35" s="150">
        <f t="shared" si="41"/>
        <v>320209.59607999999</v>
      </c>
      <c r="W35" s="150">
        <f t="shared" ref="W35:X35" si="42">SUM(W27:W33)+W34</f>
        <v>0</v>
      </c>
      <c r="X35" s="150">
        <f t="shared" si="42"/>
        <v>0</v>
      </c>
      <c r="Y35" s="150">
        <f>SUM(Y27:Y33)+Y34</f>
        <v>3092969.3438570271</v>
      </c>
      <c r="Z35" s="150">
        <f>SUM(Z27:Z33)+Z34</f>
        <v>438937.88061533723</v>
      </c>
      <c r="AA35" s="150">
        <f>SUM(AA27:AA33)+AA34</f>
        <v>3531907.2244723639</v>
      </c>
    </row>
    <row r="36" spans="1:30">
      <c r="A36" s="96">
        <v>9</v>
      </c>
      <c r="B36" s="11" t="s">
        <v>177</v>
      </c>
      <c r="C36" s="140">
        <v>1</v>
      </c>
      <c r="D36" s="134">
        <v>7040</v>
      </c>
      <c r="E36" s="141">
        <v>3.43</v>
      </c>
      <c r="F36" s="134">
        <f t="shared" ref="F36" si="43">+D36*E36</f>
        <v>24147.200000000001</v>
      </c>
      <c r="G36" s="142">
        <v>0.4</v>
      </c>
      <c r="H36" s="134">
        <f t="shared" ref="H36" si="44">F36*G36</f>
        <v>9658.880000000001</v>
      </c>
      <c r="I36" s="143"/>
      <c r="J36" s="143"/>
      <c r="K36" s="143"/>
      <c r="L36" s="144"/>
      <c r="M36" s="145"/>
      <c r="N36" s="142">
        <v>0.5</v>
      </c>
      <c r="O36" s="134">
        <f t="shared" ref="O36" si="45">+F36*N36</f>
        <v>12073.6</v>
      </c>
      <c r="P36" s="146"/>
      <c r="Q36" s="134"/>
      <c r="R36" s="134">
        <f t="shared" ref="R36" si="46">+F36+H36+I36+K36+M36+O36+Q36</f>
        <v>45879.68</v>
      </c>
      <c r="S36" s="134">
        <f t="shared" ref="S36" si="47">R36*C36</f>
        <v>45879.68</v>
      </c>
      <c r="T36" s="134">
        <f t="shared" ref="T36" si="48">(((S36+(S36*14.0135/12/12)))*3/3/29.6)*30</f>
        <v>51024.836822072073</v>
      </c>
      <c r="U36" s="134">
        <f t="shared" ref="U36" si="49">S36*2</f>
        <v>91759.360000000001</v>
      </c>
      <c r="V36" s="134">
        <f t="shared" ref="V36" si="50">(S36*14.0135)/12</f>
        <v>53577.907973333342</v>
      </c>
      <c r="W36" s="134">
        <v>5000</v>
      </c>
      <c r="X36" s="134">
        <f>+W36*9</f>
        <v>45000</v>
      </c>
      <c r="Y36" s="105">
        <f>(S36*7)+T36+U36+V36+X36</f>
        <v>562519.86479540542</v>
      </c>
      <c r="Z36" s="105">
        <f>((S36*7)+T36+V36)*0.1725</f>
        <v>73443.687077207418</v>
      </c>
      <c r="AA36" s="147">
        <f t="shared" ref="AA36" si="51">Y36+Z36</f>
        <v>635963.55187261279</v>
      </c>
    </row>
    <row r="37" spans="1:30" s="112" customFormat="1">
      <c r="A37" s="110"/>
      <c r="B37" s="111" t="s">
        <v>195</v>
      </c>
      <c r="C37" s="149">
        <f>+C36</f>
        <v>1</v>
      </c>
      <c r="D37" s="150">
        <f t="shared" ref="D37" si="52">+D36</f>
        <v>7040</v>
      </c>
      <c r="E37" s="151"/>
      <c r="F37" s="150">
        <f t="shared" ref="F37" si="53">+F36</f>
        <v>24147.200000000001</v>
      </c>
      <c r="G37" s="151"/>
      <c r="H37" s="150">
        <f t="shared" ref="H37" si="54">+H36</f>
        <v>9658.880000000001</v>
      </c>
      <c r="I37" s="151">
        <f t="shared" ref="I37" si="55">+I36</f>
        <v>0</v>
      </c>
      <c r="J37" s="151">
        <f t="shared" ref="J37" si="56">+J36</f>
        <v>0</v>
      </c>
      <c r="K37" s="151">
        <f t="shared" ref="K37" si="57">+K36</f>
        <v>0</v>
      </c>
      <c r="L37" s="151">
        <f t="shared" ref="L37" si="58">+L36</f>
        <v>0</v>
      </c>
      <c r="M37" s="151">
        <f t="shared" ref="M37" si="59">+M36</f>
        <v>0</v>
      </c>
      <c r="N37" s="151"/>
      <c r="O37" s="150">
        <f t="shared" ref="O37" si="60">+O36</f>
        <v>12073.6</v>
      </c>
      <c r="P37" s="150">
        <f t="shared" ref="P37" si="61">+P36</f>
        <v>0</v>
      </c>
      <c r="Q37" s="150">
        <f t="shared" ref="Q37" si="62">+Q36</f>
        <v>0</v>
      </c>
      <c r="R37" s="150">
        <f t="shared" ref="R37" si="63">+R36</f>
        <v>45879.68</v>
      </c>
      <c r="S37" s="150">
        <f t="shared" ref="S37" si="64">+S36</f>
        <v>45879.68</v>
      </c>
      <c r="T37" s="150">
        <f t="shared" ref="T37" si="65">+T36</f>
        <v>51024.836822072073</v>
      </c>
      <c r="U37" s="150">
        <f t="shared" ref="U37" si="66">+U36</f>
        <v>91759.360000000001</v>
      </c>
      <c r="V37" s="150">
        <f t="shared" ref="V37" si="67">+V36</f>
        <v>53577.907973333342</v>
      </c>
      <c r="W37" s="150">
        <f t="shared" ref="W37" si="68">+W36</f>
        <v>5000</v>
      </c>
      <c r="X37" s="150">
        <f t="shared" ref="X37" si="69">+X36</f>
        <v>45000</v>
      </c>
      <c r="Y37" s="150">
        <f t="shared" ref="Y37" si="70">+Y36</f>
        <v>562519.86479540542</v>
      </c>
      <c r="Z37" s="150">
        <f t="shared" ref="Z37" si="71">+Z36</f>
        <v>73443.687077207418</v>
      </c>
      <c r="AA37" s="150">
        <f t="shared" ref="AA37" si="72">+AA36</f>
        <v>635963.55187261279</v>
      </c>
    </row>
    <row r="38" spans="1:30" s="112" customFormat="1">
      <c r="A38" s="110"/>
      <c r="B38" s="111" t="s">
        <v>22</v>
      </c>
      <c r="C38" s="149">
        <f>+C35+C37</f>
        <v>8.5</v>
      </c>
      <c r="D38" s="150">
        <f t="shared" ref="D38" si="73">+D35+D37</f>
        <v>63360</v>
      </c>
      <c r="E38" s="151"/>
      <c r="F38" s="150">
        <f t="shared" ref="F38" si="74">+F35+F37</f>
        <v>192473.59999999998</v>
      </c>
      <c r="G38" s="151"/>
      <c r="H38" s="150">
        <f t="shared" ref="H38" si="75">+H35+H37</f>
        <v>34337.600000000006</v>
      </c>
      <c r="I38" s="151">
        <f t="shared" ref="I38" si="76">+I35+I37</f>
        <v>0</v>
      </c>
      <c r="J38" s="151">
        <f t="shared" ref="J38" si="77">+J35+J37</f>
        <v>0</v>
      </c>
      <c r="K38" s="151">
        <f t="shared" ref="K38" si="78">+K35+K37</f>
        <v>0</v>
      </c>
      <c r="L38" s="151">
        <f t="shared" ref="L38" si="79">+L35+L37</f>
        <v>0</v>
      </c>
      <c r="M38" s="151">
        <f t="shared" ref="M38" si="80">+M35+M37</f>
        <v>0</v>
      </c>
      <c r="N38" s="151"/>
      <c r="O38" s="150">
        <f t="shared" ref="O38" si="81">+O35+O37</f>
        <v>108106.23999999999</v>
      </c>
      <c r="P38" s="150">
        <f t="shared" ref="P38" si="82">+P35+P37</f>
        <v>0</v>
      </c>
      <c r="Q38" s="150">
        <f t="shared" ref="Q38" si="83">+Q35+Q37</f>
        <v>0</v>
      </c>
      <c r="R38" s="150">
        <f t="shared" ref="R38" si="84">+R35+R37</f>
        <v>334917.43999999994</v>
      </c>
      <c r="S38" s="150">
        <f t="shared" ref="S38" si="85">+S35+S37</f>
        <v>320080.63999999996</v>
      </c>
      <c r="T38" s="150">
        <f t="shared" ref="T38" si="86">+T35+T37</f>
        <v>355975.94459909911</v>
      </c>
      <c r="U38" s="150">
        <f t="shared" ref="U38" si="87">+U35+U37</f>
        <v>640161.27999999991</v>
      </c>
      <c r="V38" s="150">
        <f t="shared" ref="V38" si="88">+V35+V37</f>
        <v>373787.50405333331</v>
      </c>
      <c r="W38" s="150">
        <f t="shared" ref="W38" si="89">+W35+W37</f>
        <v>5000</v>
      </c>
      <c r="X38" s="150">
        <f t="shared" ref="X38" si="90">+X35+X37</f>
        <v>45000</v>
      </c>
      <c r="Y38" s="150">
        <f t="shared" ref="Y38" si="91">+Y35+Y37</f>
        <v>3655489.2086524325</v>
      </c>
      <c r="Z38" s="150">
        <f t="shared" ref="Z38" si="92">+Z35+Z37</f>
        <v>512381.56769254466</v>
      </c>
      <c r="AA38" s="150">
        <f t="shared" ref="AA38" si="93">+AA35+AA37</f>
        <v>4167870.7763449769</v>
      </c>
    </row>
    <row r="39" spans="1:30" s="112" customFormat="1">
      <c r="A39" s="152"/>
      <c r="B39" s="153" t="s">
        <v>211</v>
      </c>
      <c r="C39" s="154"/>
      <c r="D39" s="155"/>
      <c r="E39" s="156"/>
      <c r="F39" s="155"/>
      <c r="G39" s="156"/>
      <c r="H39" s="155"/>
      <c r="I39" s="156"/>
      <c r="J39" s="156"/>
      <c r="K39" s="156"/>
      <c r="L39" s="156"/>
      <c r="M39" s="156"/>
      <c r="N39" s="156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>
        <f>+Y38-Y25</f>
        <v>552593.52091027051</v>
      </c>
      <c r="Z39" s="155">
        <f t="shared" ref="Z39:AA39" si="94">+Z38-Z25</f>
        <v>72034.992757021741</v>
      </c>
      <c r="AA39" s="155">
        <f t="shared" si="94"/>
        <v>624628.5136672915</v>
      </c>
    </row>
    <row r="45" spans="1:30">
      <c r="B45" s="324" t="s">
        <v>302</v>
      </c>
      <c r="C45" s="324"/>
      <c r="D45" s="324"/>
      <c r="E45" s="324"/>
      <c r="F45" s="324"/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  <c r="T45" s="324"/>
      <c r="U45" s="324"/>
      <c r="V45" s="324"/>
      <c r="W45" s="324"/>
      <c r="X45" s="324"/>
      <c r="Y45" s="324"/>
      <c r="Z45" s="324"/>
      <c r="AA45" s="324"/>
      <c r="AB45" s="324"/>
      <c r="AC45" s="324"/>
      <c r="AD45" s="324"/>
    </row>
  </sheetData>
  <mergeCells count="24">
    <mergeCell ref="A26:AA26"/>
    <mergeCell ref="W9:X10"/>
    <mergeCell ref="G10:H10"/>
    <mergeCell ref="J10:K10"/>
    <mergeCell ref="L10:M10"/>
    <mergeCell ref="N10:O10"/>
    <mergeCell ref="P10:Q10"/>
    <mergeCell ref="A13:AA13"/>
    <mergeCell ref="T9:T10"/>
    <mergeCell ref="U9:U10"/>
    <mergeCell ref="V9:V10"/>
    <mergeCell ref="Y9:Y10"/>
    <mergeCell ref="Z9:Z10"/>
    <mergeCell ref="AA9:AA10"/>
    <mergeCell ref="A7:AA7"/>
    <mergeCell ref="A9:A11"/>
    <mergeCell ref="B9:B11"/>
    <mergeCell ref="C9:C11"/>
    <mergeCell ref="D9:D11"/>
    <mergeCell ref="E9:E11"/>
    <mergeCell ref="F9:F11"/>
    <mergeCell ref="G9:Q9"/>
    <mergeCell ref="R9:R10"/>
    <mergeCell ref="S9:S10"/>
  </mergeCells>
  <phoneticPr fontId="42" type="noConversion"/>
  <pageMargins left="0.39370078740157483" right="0.39370078740157483" top="0.39370078740157483" bottom="0.39370078740157483" header="0.31496062992125984" footer="0.31496062992125984"/>
  <pageSetup paperSize="9" scale="84" orientation="landscape" horizontalDpi="120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31B38-4652-4BC1-9BC0-CA7330EBFB69}">
  <sheetPr>
    <tabColor rgb="FF92D050"/>
    <pageSetUpPr fitToPage="1"/>
  </sheetPr>
  <dimension ref="A1:AH89"/>
  <sheetViews>
    <sheetView topLeftCell="A69" workbookViewId="0">
      <selection activeCell="B89" sqref="B89:AD89"/>
    </sheetView>
  </sheetViews>
  <sheetFormatPr defaultColWidth="9.28515625" defaultRowHeight="12.75"/>
  <cols>
    <col min="1" max="1" width="4.28515625" style="112" customWidth="1"/>
    <col min="2" max="2" width="15.28515625" style="112" customWidth="1"/>
    <col min="3" max="3" width="4.7109375" style="112" customWidth="1"/>
    <col min="4" max="4" width="6.85546875" style="112" customWidth="1"/>
    <col min="5" max="5" width="5.5703125" style="112" customWidth="1"/>
    <col min="6" max="6" width="7.28515625" style="112" customWidth="1"/>
    <col min="7" max="7" width="5.28515625" style="112" customWidth="1"/>
    <col min="8" max="8" width="6.28515625" style="112" bestFit="1" customWidth="1"/>
    <col min="9" max="9" width="10.42578125" style="112" hidden="1" customWidth="1"/>
    <col min="10" max="10" width="9.7109375" style="112" hidden="1" customWidth="1"/>
    <col min="11" max="11" width="11.5703125" style="112" hidden="1" customWidth="1"/>
    <col min="12" max="12" width="9.28515625" style="112" hidden="1" customWidth="1"/>
    <col min="13" max="13" width="12.42578125" style="112" hidden="1" customWidth="1"/>
    <col min="14" max="14" width="4.42578125" style="112" customWidth="1"/>
    <col min="15" max="15" width="8.28515625" style="112" customWidth="1"/>
    <col min="16" max="16" width="5.28515625" style="112" customWidth="1"/>
    <col min="17" max="17" width="6.7109375" style="112" customWidth="1"/>
    <col min="18" max="18" width="9.85546875" style="112" customWidth="1"/>
    <col min="19" max="19" width="10.28515625" style="112" customWidth="1"/>
    <col min="20" max="21" width="8" style="112" hidden="1" customWidth="1"/>
    <col min="22" max="22" width="8.7109375" style="112" customWidth="1"/>
    <col min="23" max="23" width="7.28515625" style="112" customWidth="1"/>
    <col min="24" max="24" width="8.42578125" style="112" customWidth="1"/>
    <col min="25" max="27" width="10.28515625" style="112" customWidth="1"/>
    <col min="28" max="28" width="10" style="112" customWidth="1"/>
    <col min="29" max="29" width="10.140625" style="112" customWidth="1"/>
    <col min="30" max="30" width="10.85546875" style="112" customWidth="1"/>
    <col min="31" max="252" width="9.28515625" style="112"/>
    <col min="253" max="253" width="5" style="112" bestFit="1" customWidth="1"/>
    <col min="254" max="254" width="26.5703125" style="112" customWidth="1"/>
    <col min="255" max="256" width="9.7109375" style="112" customWidth="1"/>
    <col min="257" max="258" width="6.5703125" style="112" customWidth="1"/>
    <col min="259" max="259" width="11" style="112" customWidth="1"/>
    <col min="260" max="260" width="8" style="112" customWidth="1"/>
    <col min="261" max="261" width="8.7109375" style="112" customWidth="1"/>
    <col min="262" max="262" width="9.7109375" style="112" customWidth="1"/>
    <col min="263" max="263" width="11.5703125" style="112" customWidth="1"/>
    <col min="264" max="264" width="0" style="112" hidden="1" customWidth="1"/>
    <col min="265" max="265" width="12.42578125" style="112" customWidth="1"/>
    <col min="266" max="266" width="11.7109375" style="112" customWidth="1"/>
    <col min="267" max="267" width="11.42578125" style="112" customWidth="1"/>
    <col min="268" max="268" width="13.28515625" style="112" customWidth="1"/>
    <col min="269" max="269" width="11.5703125" style="112" bestFit="1" customWidth="1"/>
    <col min="270" max="508" width="9.28515625" style="112"/>
    <col min="509" max="509" width="5" style="112" bestFit="1" customWidth="1"/>
    <col min="510" max="510" width="26.5703125" style="112" customWidth="1"/>
    <col min="511" max="512" width="9.7109375" style="112" customWidth="1"/>
    <col min="513" max="514" width="6.5703125" style="112" customWidth="1"/>
    <col min="515" max="515" width="11" style="112" customWidth="1"/>
    <col min="516" max="516" width="8" style="112" customWidth="1"/>
    <col min="517" max="517" width="8.7109375" style="112" customWidth="1"/>
    <col min="518" max="518" width="9.7109375" style="112" customWidth="1"/>
    <col min="519" max="519" width="11.5703125" style="112" customWidth="1"/>
    <col min="520" max="520" width="0" style="112" hidden="1" customWidth="1"/>
    <col min="521" max="521" width="12.42578125" style="112" customWidth="1"/>
    <col min="522" max="522" width="11.7109375" style="112" customWidth="1"/>
    <col min="523" max="523" width="11.42578125" style="112" customWidth="1"/>
    <col min="524" max="524" width="13.28515625" style="112" customWidth="1"/>
    <col min="525" max="525" width="11.5703125" style="112" bestFit="1" customWidth="1"/>
    <col min="526" max="764" width="9.28515625" style="112"/>
    <col min="765" max="765" width="5" style="112" bestFit="1" customWidth="1"/>
    <col min="766" max="766" width="26.5703125" style="112" customWidth="1"/>
    <col min="767" max="768" width="9.7109375" style="112" customWidth="1"/>
    <col min="769" max="770" width="6.5703125" style="112" customWidth="1"/>
    <col min="771" max="771" width="11" style="112" customWidth="1"/>
    <col min="772" max="772" width="8" style="112" customWidth="1"/>
    <col min="773" max="773" width="8.7109375" style="112" customWidth="1"/>
    <col min="774" max="774" width="9.7109375" style="112" customWidth="1"/>
    <col min="775" max="775" width="11.5703125" style="112" customWidth="1"/>
    <col min="776" max="776" width="0" style="112" hidden="1" customWidth="1"/>
    <col min="777" max="777" width="12.42578125" style="112" customWidth="1"/>
    <col min="778" max="778" width="11.7109375" style="112" customWidth="1"/>
    <col min="779" max="779" width="11.42578125" style="112" customWidth="1"/>
    <col min="780" max="780" width="13.28515625" style="112" customWidth="1"/>
    <col min="781" max="781" width="11.5703125" style="112" bestFit="1" customWidth="1"/>
    <col min="782" max="1020" width="9.28515625" style="112"/>
    <col min="1021" max="1021" width="5" style="112" bestFit="1" customWidth="1"/>
    <col min="1022" max="1022" width="26.5703125" style="112" customWidth="1"/>
    <col min="1023" max="1024" width="9.7109375" style="112" customWidth="1"/>
    <col min="1025" max="1026" width="6.5703125" style="112" customWidth="1"/>
    <col min="1027" max="1027" width="11" style="112" customWidth="1"/>
    <col min="1028" max="1028" width="8" style="112" customWidth="1"/>
    <col min="1029" max="1029" width="8.7109375" style="112" customWidth="1"/>
    <col min="1030" max="1030" width="9.7109375" style="112" customWidth="1"/>
    <col min="1031" max="1031" width="11.5703125" style="112" customWidth="1"/>
    <col min="1032" max="1032" width="0" style="112" hidden="1" customWidth="1"/>
    <col min="1033" max="1033" width="12.42578125" style="112" customWidth="1"/>
    <col min="1034" max="1034" width="11.7109375" style="112" customWidth="1"/>
    <col min="1035" max="1035" width="11.42578125" style="112" customWidth="1"/>
    <col min="1036" max="1036" width="13.28515625" style="112" customWidth="1"/>
    <col min="1037" max="1037" width="11.5703125" style="112" bestFit="1" customWidth="1"/>
    <col min="1038" max="1276" width="9.28515625" style="112"/>
    <col min="1277" max="1277" width="5" style="112" bestFit="1" customWidth="1"/>
    <col min="1278" max="1278" width="26.5703125" style="112" customWidth="1"/>
    <col min="1279" max="1280" width="9.7109375" style="112" customWidth="1"/>
    <col min="1281" max="1282" width="6.5703125" style="112" customWidth="1"/>
    <col min="1283" max="1283" width="11" style="112" customWidth="1"/>
    <col min="1284" max="1284" width="8" style="112" customWidth="1"/>
    <col min="1285" max="1285" width="8.7109375" style="112" customWidth="1"/>
    <col min="1286" max="1286" width="9.7109375" style="112" customWidth="1"/>
    <col min="1287" max="1287" width="11.5703125" style="112" customWidth="1"/>
    <col min="1288" max="1288" width="0" style="112" hidden="1" customWidth="1"/>
    <col min="1289" max="1289" width="12.42578125" style="112" customWidth="1"/>
    <col min="1290" max="1290" width="11.7109375" style="112" customWidth="1"/>
    <col min="1291" max="1291" width="11.42578125" style="112" customWidth="1"/>
    <col min="1292" max="1292" width="13.28515625" style="112" customWidth="1"/>
    <col min="1293" max="1293" width="11.5703125" style="112" bestFit="1" customWidth="1"/>
    <col min="1294" max="1532" width="9.28515625" style="112"/>
    <col min="1533" max="1533" width="5" style="112" bestFit="1" customWidth="1"/>
    <col min="1534" max="1534" width="26.5703125" style="112" customWidth="1"/>
    <col min="1535" max="1536" width="9.7109375" style="112" customWidth="1"/>
    <col min="1537" max="1538" width="6.5703125" style="112" customWidth="1"/>
    <col min="1539" max="1539" width="11" style="112" customWidth="1"/>
    <col min="1540" max="1540" width="8" style="112" customWidth="1"/>
    <col min="1541" max="1541" width="8.7109375" style="112" customWidth="1"/>
    <col min="1542" max="1542" width="9.7109375" style="112" customWidth="1"/>
    <col min="1543" max="1543" width="11.5703125" style="112" customWidth="1"/>
    <col min="1544" max="1544" width="0" style="112" hidden="1" customWidth="1"/>
    <col min="1545" max="1545" width="12.42578125" style="112" customWidth="1"/>
    <col min="1546" max="1546" width="11.7109375" style="112" customWidth="1"/>
    <col min="1547" max="1547" width="11.42578125" style="112" customWidth="1"/>
    <col min="1548" max="1548" width="13.28515625" style="112" customWidth="1"/>
    <col min="1549" max="1549" width="11.5703125" style="112" bestFit="1" customWidth="1"/>
    <col min="1550" max="1788" width="9.28515625" style="112"/>
    <col min="1789" max="1789" width="5" style="112" bestFit="1" customWidth="1"/>
    <col min="1790" max="1790" width="26.5703125" style="112" customWidth="1"/>
    <col min="1791" max="1792" width="9.7109375" style="112" customWidth="1"/>
    <col min="1793" max="1794" width="6.5703125" style="112" customWidth="1"/>
    <col min="1795" max="1795" width="11" style="112" customWidth="1"/>
    <col min="1796" max="1796" width="8" style="112" customWidth="1"/>
    <col min="1797" max="1797" width="8.7109375" style="112" customWidth="1"/>
    <col min="1798" max="1798" width="9.7109375" style="112" customWidth="1"/>
    <col min="1799" max="1799" width="11.5703125" style="112" customWidth="1"/>
    <col min="1800" max="1800" width="0" style="112" hidden="1" customWidth="1"/>
    <col min="1801" max="1801" width="12.42578125" style="112" customWidth="1"/>
    <col min="1802" max="1802" width="11.7109375" style="112" customWidth="1"/>
    <col min="1803" max="1803" width="11.42578125" style="112" customWidth="1"/>
    <col min="1804" max="1804" width="13.28515625" style="112" customWidth="1"/>
    <col min="1805" max="1805" width="11.5703125" style="112" bestFit="1" customWidth="1"/>
    <col min="1806" max="2044" width="9.28515625" style="112"/>
    <col min="2045" max="2045" width="5" style="112" bestFit="1" customWidth="1"/>
    <col min="2046" max="2046" width="26.5703125" style="112" customWidth="1"/>
    <col min="2047" max="2048" width="9.7109375" style="112" customWidth="1"/>
    <col min="2049" max="2050" width="6.5703125" style="112" customWidth="1"/>
    <col min="2051" max="2051" width="11" style="112" customWidth="1"/>
    <col min="2052" max="2052" width="8" style="112" customWidth="1"/>
    <col min="2053" max="2053" width="8.7109375" style="112" customWidth="1"/>
    <col min="2054" max="2054" width="9.7109375" style="112" customWidth="1"/>
    <col min="2055" max="2055" width="11.5703125" style="112" customWidth="1"/>
    <col min="2056" max="2056" width="0" style="112" hidden="1" customWidth="1"/>
    <col min="2057" max="2057" width="12.42578125" style="112" customWidth="1"/>
    <col min="2058" max="2058" width="11.7109375" style="112" customWidth="1"/>
    <col min="2059" max="2059" width="11.42578125" style="112" customWidth="1"/>
    <col min="2060" max="2060" width="13.28515625" style="112" customWidth="1"/>
    <col min="2061" max="2061" width="11.5703125" style="112" bestFit="1" customWidth="1"/>
    <col min="2062" max="2300" width="9.28515625" style="112"/>
    <col min="2301" max="2301" width="5" style="112" bestFit="1" customWidth="1"/>
    <col min="2302" max="2302" width="26.5703125" style="112" customWidth="1"/>
    <col min="2303" max="2304" width="9.7109375" style="112" customWidth="1"/>
    <col min="2305" max="2306" width="6.5703125" style="112" customWidth="1"/>
    <col min="2307" max="2307" width="11" style="112" customWidth="1"/>
    <col min="2308" max="2308" width="8" style="112" customWidth="1"/>
    <col min="2309" max="2309" width="8.7109375" style="112" customWidth="1"/>
    <col min="2310" max="2310" width="9.7109375" style="112" customWidth="1"/>
    <col min="2311" max="2311" width="11.5703125" style="112" customWidth="1"/>
    <col min="2312" max="2312" width="0" style="112" hidden="1" customWidth="1"/>
    <col min="2313" max="2313" width="12.42578125" style="112" customWidth="1"/>
    <col min="2314" max="2314" width="11.7109375" style="112" customWidth="1"/>
    <col min="2315" max="2315" width="11.42578125" style="112" customWidth="1"/>
    <col min="2316" max="2316" width="13.28515625" style="112" customWidth="1"/>
    <col min="2317" max="2317" width="11.5703125" style="112" bestFit="1" customWidth="1"/>
    <col min="2318" max="2556" width="9.28515625" style="112"/>
    <col min="2557" max="2557" width="5" style="112" bestFit="1" customWidth="1"/>
    <col min="2558" max="2558" width="26.5703125" style="112" customWidth="1"/>
    <col min="2559" max="2560" width="9.7109375" style="112" customWidth="1"/>
    <col min="2561" max="2562" width="6.5703125" style="112" customWidth="1"/>
    <col min="2563" max="2563" width="11" style="112" customWidth="1"/>
    <col min="2564" max="2564" width="8" style="112" customWidth="1"/>
    <col min="2565" max="2565" width="8.7109375" style="112" customWidth="1"/>
    <col min="2566" max="2566" width="9.7109375" style="112" customWidth="1"/>
    <col min="2567" max="2567" width="11.5703125" style="112" customWidth="1"/>
    <col min="2568" max="2568" width="0" style="112" hidden="1" customWidth="1"/>
    <col min="2569" max="2569" width="12.42578125" style="112" customWidth="1"/>
    <col min="2570" max="2570" width="11.7109375" style="112" customWidth="1"/>
    <col min="2571" max="2571" width="11.42578125" style="112" customWidth="1"/>
    <col min="2572" max="2572" width="13.28515625" style="112" customWidth="1"/>
    <col min="2573" max="2573" width="11.5703125" style="112" bestFit="1" customWidth="1"/>
    <col min="2574" max="2812" width="9.28515625" style="112"/>
    <col min="2813" max="2813" width="5" style="112" bestFit="1" customWidth="1"/>
    <col min="2814" max="2814" width="26.5703125" style="112" customWidth="1"/>
    <col min="2815" max="2816" width="9.7109375" style="112" customWidth="1"/>
    <col min="2817" max="2818" width="6.5703125" style="112" customWidth="1"/>
    <col min="2819" max="2819" width="11" style="112" customWidth="1"/>
    <col min="2820" max="2820" width="8" style="112" customWidth="1"/>
    <col min="2821" max="2821" width="8.7109375" style="112" customWidth="1"/>
    <col min="2822" max="2822" width="9.7109375" style="112" customWidth="1"/>
    <col min="2823" max="2823" width="11.5703125" style="112" customWidth="1"/>
    <col min="2824" max="2824" width="0" style="112" hidden="1" customWidth="1"/>
    <col min="2825" max="2825" width="12.42578125" style="112" customWidth="1"/>
    <col min="2826" max="2826" width="11.7109375" style="112" customWidth="1"/>
    <col min="2827" max="2827" width="11.42578125" style="112" customWidth="1"/>
    <col min="2828" max="2828" width="13.28515625" style="112" customWidth="1"/>
    <col min="2829" max="2829" width="11.5703125" style="112" bestFit="1" customWidth="1"/>
    <col min="2830" max="3068" width="9.28515625" style="112"/>
    <col min="3069" max="3069" width="5" style="112" bestFit="1" customWidth="1"/>
    <col min="3070" max="3070" width="26.5703125" style="112" customWidth="1"/>
    <col min="3071" max="3072" width="9.7109375" style="112" customWidth="1"/>
    <col min="3073" max="3074" width="6.5703125" style="112" customWidth="1"/>
    <col min="3075" max="3075" width="11" style="112" customWidth="1"/>
    <col min="3076" max="3076" width="8" style="112" customWidth="1"/>
    <col min="3077" max="3077" width="8.7109375" style="112" customWidth="1"/>
    <col min="3078" max="3078" width="9.7109375" style="112" customWidth="1"/>
    <col min="3079" max="3079" width="11.5703125" style="112" customWidth="1"/>
    <col min="3080" max="3080" width="0" style="112" hidden="1" customWidth="1"/>
    <col min="3081" max="3081" width="12.42578125" style="112" customWidth="1"/>
    <col min="3082" max="3082" width="11.7109375" style="112" customWidth="1"/>
    <col min="3083" max="3083" width="11.42578125" style="112" customWidth="1"/>
    <col min="3084" max="3084" width="13.28515625" style="112" customWidth="1"/>
    <col min="3085" max="3085" width="11.5703125" style="112" bestFit="1" customWidth="1"/>
    <col min="3086" max="3324" width="9.28515625" style="112"/>
    <col min="3325" max="3325" width="5" style="112" bestFit="1" customWidth="1"/>
    <col min="3326" max="3326" width="26.5703125" style="112" customWidth="1"/>
    <col min="3327" max="3328" width="9.7109375" style="112" customWidth="1"/>
    <col min="3329" max="3330" width="6.5703125" style="112" customWidth="1"/>
    <col min="3331" max="3331" width="11" style="112" customWidth="1"/>
    <col min="3332" max="3332" width="8" style="112" customWidth="1"/>
    <col min="3333" max="3333" width="8.7109375" style="112" customWidth="1"/>
    <col min="3334" max="3334" width="9.7109375" style="112" customWidth="1"/>
    <col min="3335" max="3335" width="11.5703125" style="112" customWidth="1"/>
    <col min="3336" max="3336" width="0" style="112" hidden="1" customWidth="1"/>
    <col min="3337" max="3337" width="12.42578125" style="112" customWidth="1"/>
    <col min="3338" max="3338" width="11.7109375" style="112" customWidth="1"/>
    <col min="3339" max="3339" width="11.42578125" style="112" customWidth="1"/>
    <col min="3340" max="3340" width="13.28515625" style="112" customWidth="1"/>
    <col min="3341" max="3341" width="11.5703125" style="112" bestFit="1" customWidth="1"/>
    <col min="3342" max="3580" width="9.28515625" style="112"/>
    <col min="3581" max="3581" width="5" style="112" bestFit="1" customWidth="1"/>
    <col min="3582" max="3582" width="26.5703125" style="112" customWidth="1"/>
    <col min="3583" max="3584" width="9.7109375" style="112" customWidth="1"/>
    <col min="3585" max="3586" width="6.5703125" style="112" customWidth="1"/>
    <col min="3587" max="3587" width="11" style="112" customWidth="1"/>
    <col min="3588" max="3588" width="8" style="112" customWidth="1"/>
    <col min="3589" max="3589" width="8.7109375" style="112" customWidth="1"/>
    <col min="3590" max="3590" width="9.7109375" style="112" customWidth="1"/>
    <col min="3591" max="3591" width="11.5703125" style="112" customWidth="1"/>
    <col min="3592" max="3592" width="0" style="112" hidden="1" customWidth="1"/>
    <col min="3593" max="3593" width="12.42578125" style="112" customWidth="1"/>
    <col min="3594" max="3594" width="11.7109375" style="112" customWidth="1"/>
    <col min="3595" max="3595" width="11.42578125" style="112" customWidth="1"/>
    <col min="3596" max="3596" width="13.28515625" style="112" customWidth="1"/>
    <col min="3597" max="3597" width="11.5703125" style="112" bestFit="1" customWidth="1"/>
    <col min="3598" max="3836" width="9.28515625" style="112"/>
    <col min="3837" max="3837" width="5" style="112" bestFit="1" customWidth="1"/>
    <col min="3838" max="3838" width="26.5703125" style="112" customWidth="1"/>
    <col min="3839" max="3840" width="9.7109375" style="112" customWidth="1"/>
    <col min="3841" max="3842" width="6.5703125" style="112" customWidth="1"/>
    <col min="3843" max="3843" width="11" style="112" customWidth="1"/>
    <col min="3844" max="3844" width="8" style="112" customWidth="1"/>
    <col min="3845" max="3845" width="8.7109375" style="112" customWidth="1"/>
    <col min="3846" max="3846" width="9.7109375" style="112" customWidth="1"/>
    <col min="3847" max="3847" width="11.5703125" style="112" customWidth="1"/>
    <col min="3848" max="3848" width="0" style="112" hidden="1" customWidth="1"/>
    <col min="3849" max="3849" width="12.42578125" style="112" customWidth="1"/>
    <col min="3850" max="3850" width="11.7109375" style="112" customWidth="1"/>
    <col min="3851" max="3851" width="11.42578125" style="112" customWidth="1"/>
    <col min="3852" max="3852" width="13.28515625" style="112" customWidth="1"/>
    <col min="3853" max="3853" width="11.5703125" style="112" bestFit="1" customWidth="1"/>
    <col min="3854" max="4092" width="9.28515625" style="112"/>
    <col min="4093" max="4093" width="5" style="112" bestFit="1" customWidth="1"/>
    <col min="4094" max="4094" width="26.5703125" style="112" customWidth="1"/>
    <col min="4095" max="4096" width="9.7109375" style="112" customWidth="1"/>
    <col min="4097" max="4098" width="6.5703125" style="112" customWidth="1"/>
    <col min="4099" max="4099" width="11" style="112" customWidth="1"/>
    <col min="4100" max="4100" width="8" style="112" customWidth="1"/>
    <col min="4101" max="4101" width="8.7109375" style="112" customWidth="1"/>
    <col min="4102" max="4102" width="9.7109375" style="112" customWidth="1"/>
    <col min="4103" max="4103" width="11.5703125" style="112" customWidth="1"/>
    <col min="4104" max="4104" width="0" style="112" hidden="1" customWidth="1"/>
    <col min="4105" max="4105" width="12.42578125" style="112" customWidth="1"/>
    <col min="4106" max="4106" width="11.7109375" style="112" customWidth="1"/>
    <col min="4107" max="4107" width="11.42578125" style="112" customWidth="1"/>
    <col min="4108" max="4108" width="13.28515625" style="112" customWidth="1"/>
    <col min="4109" max="4109" width="11.5703125" style="112" bestFit="1" customWidth="1"/>
    <col min="4110" max="4348" width="9.28515625" style="112"/>
    <col min="4349" max="4349" width="5" style="112" bestFit="1" customWidth="1"/>
    <col min="4350" max="4350" width="26.5703125" style="112" customWidth="1"/>
    <col min="4351" max="4352" width="9.7109375" style="112" customWidth="1"/>
    <col min="4353" max="4354" width="6.5703125" style="112" customWidth="1"/>
    <col min="4355" max="4355" width="11" style="112" customWidth="1"/>
    <col min="4356" max="4356" width="8" style="112" customWidth="1"/>
    <col min="4357" max="4357" width="8.7109375" style="112" customWidth="1"/>
    <col min="4358" max="4358" width="9.7109375" style="112" customWidth="1"/>
    <col min="4359" max="4359" width="11.5703125" style="112" customWidth="1"/>
    <col min="4360" max="4360" width="0" style="112" hidden="1" customWidth="1"/>
    <col min="4361" max="4361" width="12.42578125" style="112" customWidth="1"/>
    <col min="4362" max="4362" width="11.7109375" style="112" customWidth="1"/>
    <col min="4363" max="4363" width="11.42578125" style="112" customWidth="1"/>
    <col min="4364" max="4364" width="13.28515625" style="112" customWidth="1"/>
    <col min="4365" max="4365" width="11.5703125" style="112" bestFit="1" customWidth="1"/>
    <col min="4366" max="4604" width="9.28515625" style="112"/>
    <col min="4605" max="4605" width="5" style="112" bestFit="1" customWidth="1"/>
    <col min="4606" max="4606" width="26.5703125" style="112" customWidth="1"/>
    <col min="4607" max="4608" width="9.7109375" style="112" customWidth="1"/>
    <col min="4609" max="4610" width="6.5703125" style="112" customWidth="1"/>
    <col min="4611" max="4611" width="11" style="112" customWidth="1"/>
    <col min="4612" max="4612" width="8" style="112" customWidth="1"/>
    <col min="4613" max="4613" width="8.7109375" style="112" customWidth="1"/>
    <col min="4614" max="4614" width="9.7109375" style="112" customWidth="1"/>
    <col min="4615" max="4615" width="11.5703125" style="112" customWidth="1"/>
    <col min="4616" max="4616" width="0" style="112" hidden="1" customWidth="1"/>
    <col min="4617" max="4617" width="12.42578125" style="112" customWidth="1"/>
    <col min="4618" max="4618" width="11.7109375" style="112" customWidth="1"/>
    <col min="4619" max="4619" width="11.42578125" style="112" customWidth="1"/>
    <col min="4620" max="4620" width="13.28515625" style="112" customWidth="1"/>
    <col min="4621" max="4621" width="11.5703125" style="112" bestFit="1" customWidth="1"/>
    <col min="4622" max="4860" width="9.28515625" style="112"/>
    <col min="4861" max="4861" width="5" style="112" bestFit="1" customWidth="1"/>
    <col min="4862" max="4862" width="26.5703125" style="112" customWidth="1"/>
    <col min="4863" max="4864" width="9.7109375" style="112" customWidth="1"/>
    <col min="4865" max="4866" width="6.5703125" style="112" customWidth="1"/>
    <col min="4867" max="4867" width="11" style="112" customWidth="1"/>
    <col min="4868" max="4868" width="8" style="112" customWidth="1"/>
    <col min="4869" max="4869" width="8.7109375" style="112" customWidth="1"/>
    <col min="4870" max="4870" width="9.7109375" style="112" customWidth="1"/>
    <col min="4871" max="4871" width="11.5703125" style="112" customWidth="1"/>
    <col min="4872" max="4872" width="0" style="112" hidden="1" customWidth="1"/>
    <col min="4873" max="4873" width="12.42578125" style="112" customWidth="1"/>
    <col min="4874" max="4874" width="11.7109375" style="112" customWidth="1"/>
    <col min="4875" max="4875" width="11.42578125" style="112" customWidth="1"/>
    <col min="4876" max="4876" width="13.28515625" style="112" customWidth="1"/>
    <col min="4877" max="4877" width="11.5703125" style="112" bestFit="1" customWidth="1"/>
    <col min="4878" max="5116" width="9.28515625" style="112"/>
    <col min="5117" max="5117" width="5" style="112" bestFit="1" customWidth="1"/>
    <col min="5118" max="5118" width="26.5703125" style="112" customWidth="1"/>
    <col min="5119" max="5120" width="9.7109375" style="112" customWidth="1"/>
    <col min="5121" max="5122" width="6.5703125" style="112" customWidth="1"/>
    <col min="5123" max="5123" width="11" style="112" customWidth="1"/>
    <col min="5124" max="5124" width="8" style="112" customWidth="1"/>
    <col min="5125" max="5125" width="8.7109375" style="112" customWidth="1"/>
    <col min="5126" max="5126" width="9.7109375" style="112" customWidth="1"/>
    <col min="5127" max="5127" width="11.5703125" style="112" customWidth="1"/>
    <col min="5128" max="5128" width="0" style="112" hidden="1" customWidth="1"/>
    <col min="5129" max="5129" width="12.42578125" style="112" customWidth="1"/>
    <col min="5130" max="5130" width="11.7109375" style="112" customWidth="1"/>
    <col min="5131" max="5131" width="11.42578125" style="112" customWidth="1"/>
    <col min="5132" max="5132" width="13.28515625" style="112" customWidth="1"/>
    <col min="5133" max="5133" width="11.5703125" style="112" bestFit="1" customWidth="1"/>
    <col min="5134" max="5372" width="9.28515625" style="112"/>
    <col min="5373" max="5373" width="5" style="112" bestFit="1" customWidth="1"/>
    <col min="5374" max="5374" width="26.5703125" style="112" customWidth="1"/>
    <col min="5375" max="5376" width="9.7109375" style="112" customWidth="1"/>
    <col min="5377" max="5378" width="6.5703125" style="112" customWidth="1"/>
    <col min="5379" max="5379" width="11" style="112" customWidth="1"/>
    <col min="5380" max="5380" width="8" style="112" customWidth="1"/>
    <col min="5381" max="5381" width="8.7109375" style="112" customWidth="1"/>
    <col min="5382" max="5382" width="9.7109375" style="112" customWidth="1"/>
    <col min="5383" max="5383" width="11.5703125" style="112" customWidth="1"/>
    <col min="5384" max="5384" width="0" style="112" hidden="1" customWidth="1"/>
    <col min="5385" max="5385" width="12.42578125" style="112" customWidth="1"/>
    <col min="5386" max="5386" width="11.7109375" style="112" customWidth="1"/>
    <col min="5387" max="5387" width="11.42578125" style="112" customWidth="1"/>
    <col min="5388" max="5388" width="13.28515625" style="112" customWidth="1"/>
    <col min="5389" max="5389" width="11.5703125" style="112" bestFit="1" customWidth="1"/>
    <col min="5390" max="5628" width="9.28515625" style="112"/>
    <col min="5629" max="5629" width="5" style="112" bestFit="1" customWidth="1"/>
    <col min="5630" max="5630" width="26.5703125" style="112" customWidth="1"/>
    <col min="5631" max="5632" width="9.7109375" style="112" customWidth="1"/>
    <col min="5633" max="5634" width="6.5703125" style="112" customWidth="1"/>
    <col min="5635" max="5635" width="11" style="112" customWidth="1"/>
    <col min="5636" max="5636" width="8" style="112" customWidth="1"/>
    <col min="5637" max="5637" width="8.7109375" style="112" customWidth="1"/>
    <col min="5638" max="5638" width="9.7109375" style="112" customWidth="1"/>
    <col min="5639" max="5639" width="11.5703125" style="112" customWidth="1"/>
    <col min="5640" max="5640" width="0" style="112" hidden="1" customWidth="1"/>
    <col min="5641" max="5641" width="12.42578125" style="112" customWidth="1"/>
    <col min="5642" max="5642" width="11.7109375" style="112" customWidth="1"/>
    <col min="5643" max="5643" width="11.42578125" style="112" customWidth="1"/>
    <col min="5644" max="5644" width="13.28515625" style="112" customWidth="1"/>
    <col min="5645" max="5645" width="11.5703125" style="112" bestFit="1" customWidth="1"/>
    <col min="5646" max="5884" width="9.28515625" style="112"/>
    <col min="5885" max="5885" width="5" style="112" bestFit="1" customWidth="1"/>
    <col min="5886" max="5886" width="26.5703125" style="112" customWidth="1"/>
    <col min="5887" max="5888" width="9.7109375" style="112" customWidth="1"/>
    <col min="5889" max="5890" width="6.5703125" style="112" customWidth="1"/>
    <col min="5891" max="5891" width="11" style="112" customWidth="1"/>
    <col min="5892" max="5892" width="8" style="112" customWidth="1"/>
    <col min="5893" max="5893" width="8.7109375" style="112" customWidth="1"/>
    <col min="5894" max="5894" width="9.7109375" style="112" customWidth="1"/>
    <col min="5895" max="5895" width="11.5703125" style="112" customWidth="1"/>
    <col min="5896" max="5896" width="0" style="112" hidden="1" customWidth="1"/>
    <col min="5897" max="5897" width="12.42578125" style="112" customWidth="1"/>
    <col min="5898" max="5898" width="11.7109375" style="112" customWidth="1"/>
    <col min="5899" max="5899" width="11.42578125" style="112" customWidth="1"/>
    <col min="5900" max="5900" width="13.28515625" style="112" customWidth="1"/>
    <col min="5901" max="5901" width="11.5703125" style="112" bestFit="1" customWidth="1"/>
    <col min="5902" max="6140" width="9.28515625" style="112"/>
    <col min="6141" max="6141" width="5" style="112" bestFit="1" customWidth="1"/>
    <col min="6142" max="6142" width="26.5703125" style="112" customWidth="1"/>
    <col min="6143" max="6144" width="9.7109375" style="112" customWidth="1"/>
    <col min="6145" max="6146" width="6.5703125" style="112" customWidth="1"/>
    <col min="6147" max="6147" width="11" style="112" customWidth="1"/>
    <col min="6148" max="6148" width="8" style="112" customWidth="1"/>
    <col min="6149" max="6149" width="8.7109375" style="112" customWidth="1"/>
    <col min="6150" max="6150" width="9.7109375" style="112" customWidth="1"/>
    <col min="6151" max="6151" width="11.5703125" style="112" customWidth="1"/>
    <col min="6152" max="6152" width="0" style="112" hidden="1" customWidth="1"/>
    <col min="6153" max="6153" width="12.42578125" style="112" customWidth="1"/>
    <col min="6154" max="6154" width="11.7109375" style="112" customWidth="1"/>
    <col min="6155" max="6155" width="11.42578125" style="112" customWidth="1"/>
    <col min="6156" max="6156" width="13.28515625" style="112" customWidth="1"/>
    <col min="6157" max="6157" width="11.5703125" style="112" bestFit="1" customWidth="1"/>
    <col min="6158" max="6396" width="9.28515625" style="112"/>
    <col min="6397" max="6397" width="5" style="112" bestFit="1" customWidth="1"/>
    <col min="6398" max="6398" width="26.5703125" style="112" customWidth="1"/>
    <col min="6399" max="6400" width="9.7109375" style="112" customWidth="1"/>
    <col min="6401" max="6402" width="6.5703125" style="112" customWidth="1"/>
    <col min="6403" max="6403" width="11" style="112" customWidth="1"/>
    <col min="6404" max="6404" width="8" style="112" customWidth="1"/>
    <col min="6405" max="6405" width="8.7109375" style="112" customWidth="1"/>
    <col min="6406" max="6406" width="9.7109375" style="112" customWidth="1"/>
    <col min="6407" max="6407" width="11.5703125" style="112" customWidth="1"/>
    <col min="6408" max="6408" width="0" style="112" hidden="1" customWidth="1"/>
    <col min="6409" max="6409" width="12.42578125" style="112" customWidth="1"/>
    <col min="6410" max="6410" width="11.7109375" style="112" customWidth="1"/>
    <col min="6411" max="6411" width="11.42578125" style="112" customWidth="1"/>
    <col min="6412" max="6412" width="13.28515625" style="112" customWidth="1"/>
    <col min="6413" max="6413" width="11.5703125" style="112" bestFit="1" customWidth="1"/>
    <col min="6414" max="6652" width="9.28515625" style="112"/>
    <col min="6653" max="6653" width="5" style="112" bestFit="1" customWidth="1"/>
    <col min="6654" max="6654" width="26.5703125" style="112" customWidth="1"/>
    <col min="6655" max="6656" width="9.7109375" style="112" customWidth="1"/>
    <col min="6657" max="6658" width="6.5703125" style="112" customWidth="1"/>
    <col min="6659" max="6659" width="11" style="112" customWidth="1"/>
    <col min="6660" max="6660" width="8" style="112" customWidth="1"/>
    <col min="6661" max="6661" width="8.7109375" style="112" customWidth="1"/>
    <col min="6662" max="6662" width="9.7109375" style="112" customWidth="1"/>
    <col min="6663" max="6663" width="11.5703125" style="112" customWidth="1"/>
    <col min="6664" max="6664" width="0" style="112" hidden="1" customWidth="1"/>
    <col min="6665" max="6665" width="12.42578125" style="112" customWidth="1"/>
    <col min="6666" max="6666" width="11.7109375" style="112" customWidth="1"/>
    <col min="6667" max="6667" width="11.42578125" style="112" customWidth="1"/>
    <col min="6668" max="6668" width="13.28515625" style="112" customWidth="1"/>
    <col min="6669" max="6669" width="11.5703125" style="112" bestFit="1" customWidth="1"/>
    <col min="6670" max="6908" width="9.28515625" style="112"/>
    <col min="6909" max="6909" width="5" style="112" bestFit="1" customWidth="1"/>
    <col min="6910" max="6910" width="26.5703125" style="112" customWidth="1"/>
    <col min="6911" max="6912" width="9.7109375" style="112" customWidth="1"/>
    <col min="6913" max="6914" width="6.5703125" style="112" customWidth="1"/>
    <col min="6915" max="6915" width="11" style="112" customWidth="1"/>
    <col min="6916" max="6916" width="8" style="112" customWidth="1"/>
    <col min="6917" max="6917" width="8.7109375" style="112" customWidth="1"/>
    <col min="6918" max="6918" width="9.7109375" style="112" customWidth="1"/>
    <col min="6919" max="6919" width="11.5703125" style="112" customWidth="1"/>
    <col min="6920" max="6920" width="0" style="112" hidden="1" customWidth="1"/>
    <col min="6921" max="6921" width="12.42578125" style="112" customWidth="1"/>
    <col min="6922" max="6922" width="11.7109375" style="112" customWidth="1"/>
    <col min="6923" max="6923" width="11.42578125" style="112" customWidth="1"/>
    <col min="6924" max="6924" width="13.28515625" style="112" customWidth="1"/>
    <col min="6925" max="6925" width="11.5703125" style="112" bestFit="1" customWidth="1"/>
    <col min="6926" max="7164" width="9.28515625" style="112"/>
    <col min="7165" max="7165" width="5" style="112" bestFit="1" customWidth="1"/>
    <col min="7166" max="7166" width="26.5703125" style="112" customWidth="1"/>
    <col min="7167" max="7168" width="9.7109375" style="112" customWidth="1"/>
    <col min="7169" max="7170" width="6.5703125" style="112" customWidth="1"/>
    <col min="7171" max="7171" width="11" style="112" customWidth="1"/>
    <col min="7172" max="7172" width="8" style="112" customWidth="1"/>
    <col min="7173" max="7173" width="8.7109375" style="112" customWidth="1"/>
    <col min="7174" max="7174" width="9.7109375" style="112" customWidth="1"/>
    <col min="7175" max="7175" width="11.5703125" style="112" customWidth="1"/>
    <col min="7176" max="7176" width="0" style="112" hidden="1" customWidth="1"/>
    <col min="7177" max="7177" width="12.42578125" style="112" customWidth="1"/>
    <col min="7178" max="7178" width="11.7109375" style="112" customWidth="1"/>
    <col min="7179" max="7179" width="11.42578125" style="112" customWidth="1"/>
    <col min="7180" max="7180" width="13.28515625" style="112" customWidth="1"/>
    <col min="7181" max="7181" width="11.5703125" style="112" bestFit="1" customWidth="1"/>
    <col min="7182" max="7420" width="9.28515625" style="112"/>
    <col min="7421" max="7421" width="5" style="112" bestFit="1" customWidth="1"/>
    <col min="7422" max="7422" width="26.5703125" style="112" customWidth="1"/>
    <col min="7423" max="7424" width="9.7109375" style="112" customWidth="1"/>
    <col min="7425" max="7426" width="6.5703125" style="112" customWidth="1"/>
    <col min="7427" max="7427" width="11" style="112" customWidth="1"/>
    <col min="7428" max="7428" width="8" style="112" customWidth="1"/>
    <col min="7429" max="7429" width="8.7109375" style="112" customWidth="1"/>
    <col min="7430" max="7430" width="9.7109375" style="112" customWidth="1"/>
    <col min="7431" max="7431" width="11.5703125" style="112" customWidth="1"/>
    <col min="7432" max="7432" width="0" style="112" hidden="1" customWidth="1"/>
    <col min="7433" max="7433" width="12.42578125" style="112" customWidth="1"/>
    <col min="7434" max="7434" width="11.7109375" style="112" customWidth="1"/>
    <col min="7435" max="7435" width="11.42578125" style="112" customWidth="1"/>
    <col min="7436" max="7436" width="13.28515625" style="112" customWidth="1"/>
    <col min="7437" max="7437" width="11.5703125" style="112" bestFit="1" customWidth="1"/>
    <col min="7438" max="7676" width="9.28515625" style="112"/>
    <col min="7677" max="7677" width="5" style="112" bestFit="1" customWidth="1"/>
    <col min="7678" max="7678" width="26.5703125" style="112" customWidth="1"/>
    <col min="7679" max="7680" width="9.7109375" style="112" customWidth="1"/>
    <col min="7681" max="7682" width="6.5703125" style="112" customWidth="1"/>
    <col min="7683" max="7683" width="11" style="112" customWidth="1"/>
    <col min="7684" max="7684" width="8" style="112" customWidth="1"/>
    <col min="7685" max="7685" width="8.7109375" style="112" customWidth="1"/>
    <col min="7686" max="7686" width="9.7109375" style="112" customWidth="1"/>
    <col min="7687" max="7687" width="11.5703125" style="112" customWidth="1"/>
    <col min="7688" max="7688" width="0" style="112" hidden="1" customWidth="1"/>
    <col min="7689" max="7689" width="12.42578125" style="112" customWidth="1"/>
    <col min="7690" max="7690" width="11.7109375" style="112" customWidth="1"/>
    <col min="7691" max="7691" width="11.42578125" style="112" customWidth="1"/>
    <col min="7692" max="7692" width="13.28515625" style="112" customWidth="1"/>
    <col min="7693" max="7693" width="11.5703125" style="112" bestFit="1" customWidth="1"/>
    <col min="7694" max="7932" width="9.28515625" style="112"/>
    <col min="7933" max="7933" width="5" style="112" bestFit="1" customWidth="1"/>
    <col min="7934" max="7934" width="26.5703125" style="112" customWidth="1"/>
    <col min="7935" max="7936" width="9.7109375" style="112" customWidth="1"/>
    <col min="7937" max="7938" width="6.5703125" style="112" customWidth="1"/>
    <col min="7939" max="7939" width="11" style="112" customWidth="1"/>
    <col min="7940" max="7940" width="8" style="112" customWidth="1"/>
    <col min="7941" max="7941" width="8.7109375" style="112" customWidth="1"/>
    <col min="7942" max="7942" width="9.7109375" style="112" customWidth="1"/>
    <col min="7943" max="7943" width="11.5703125" style="112" customWidth="1"/>
    <col min="7944" max="7944" width="0" style="112" hidden="1" customWidth="1"/>
    <col min="7945" max="7945" width="12.42578125" style="112" customWidth="1"/>
    <col min="7946" max="7946" width="11.7109375" style="112" customWidth="1"/>
    <col min="7947" max="7947" width="11.42578125" style="112" customWidth="1"/>
    <col min="7948" max="7948" width="13.28515625" style="112" customWidth="1"/>
    <col min="7949" max="7949" width="11.5703125" style="112" bestFit="1" customWidth="1"/>
    <col min="7950" max="8188" width="9.28515625" style="112"/>
    <col min="8189" max="8189" width="5" style="112" bestFit="1" customWidth="1"/>
    <col min="8190" max="8190" width="26.5703125" style="112" customWidth="1"/>
    <col min="8191" max="8192" width="9.7109375" style="112" customWidth="1"/>
    <col min="8193" max="8194" width="6.5703125" style="112" customWidth="1"/>
    <col min="8195" max="8195" width="11" style="112" customWidth="1"/>
    <col min="8196" max="8196" width="8" style="112" customWidth="1"/>
    <col min="8197" max="8197" width="8.7109375" style="112" customWidth="1"/>
    <col min="8198" max="8198" width="9.7109375" style="112" customWidth="1"/>
    <col min="8199" max="8199" width="11.5703125" style="112" customWidth="1"/>
    <col min="8200" max="8200" width="0" style="112" hidden="1" customWidth="1"/>
    <col min="8201" max="8201" width="12.42578125" style="112" customWidth="1"/>
    <col min="8202" max="8202" width="11.7109375" style="112" customWidth="1"/>
    <col min="8203" max="8203" width="11.42578125" style="112" customWidth="1"/>
    <col min="8204" max="8204" width="13.28515625" style="112" customWidth="1"/>
    <col min="8205" max="8205" width="11.5703125" style="112" bestFit="1" customWidth="1"/>
    <col min="8206" max="8444" width="9.28515625" style="112"/>
    <col min="8445" max="8445" width="5" style="112" bestFit="1" customWidth="1"/>
    <col min="8446" max="8446" width="26.5703125" style="112" customWidth="1"/>
    <col min="8447" max="8448" width="9.7109375" style="112" customWidth="1"/>
    <col min="8449" max="8450" width="6.5703125" style="112" customWidth="1"/>
    <col min="8451" max="8451" width="11" style="112" customWidth="1"/>
    <col min="8452" max="8452" width="8" style="112" customWidth="1"/>
    <col min="8453" max="8453" width="8.7109375" style="112" customWidth="1"/>
    <col min="8454" max="8454" width="9.7109375" style="112" customWidth="1"/>
    <col min="8455" max="8455" width="11.5703125" style="112" customWidth="1"/>
    <col min="8456" max="8456" width="0" style="112" hidden="1" customWidth="1"/>
    <col min="8457" max="8457" width="12.42578125" style="112" customWidth="1"/>
    <col min="8458" max="8458" width="11.7109375" style="112" customWidth="1"/>
    <col min="8459" max="8459" width="11.42578125" style="112" customWidth="1"/>
    <col min="8460" max="8460" width="13.28515625" style="112" customWidth="1"/>
    <col min="8461" max="8461" width="11.5703125" style="112" bestFit="1" customWidth="1"/>
    <col min="8462" max="8700" width="9.28515625" style="112"/>
    <col min="8701" max="8701" width="5" style="112" bestFit="1" customWidth="1"/>
    <col min="8702" max="8702" width="26.5703125" style="112" customWidth="1"/>
    <col min="8703" max="8704" width="9.7109375" style="112" customWidth="1"/>
    <col min="8705" max="8706" width="6.5703125" style="112" customWidth="1"/>
    <col min="8707" max="8707" width="11" style="112" customWidth="1"/>
    <col min="8708" max="8708" width="8" style="112" customWidth="1"/>
    <col min="8709" max="8709" width="8.7109375" style="112" customWidth="1"/>
    <col min="8710" max="8710" width="9.7109375" style="112" customWidth="1"/>
    <col min="8711" max="8711" width="11.5703125" style="112" customWidth="1"/>
    <col min="8712" max="8712" width="0" style="112" hidden="1" customWidth="1"/>
    <col min="8713" max="8713" width="12.42578125" style="112" customWidth="1"/>
    <col min="8714" max="8714" width="11.7109375" style="112" customWidth="1"/>
    <col min="8715" max="8715" width="11.42578125" style="112" customWidth="1"/>
    <col min="8716" max="8716" width="13.28515625" style="112" customWidth="1"/>
    <col min="8717" max="8717" width="11.5703125" style="112" bestFit="1" customWidth="1"/>
    <col min="8718" max="8956" width="9.28515625" style="112"/>
    <col min="8957" max="8957" width="5" style="112" bestFit="1" customWidth="1"/>
    <col min="8958" max="8958" width="26.5703125" style="112" customWidth="1"/>
    <col min="8959" max="8960" width="9.7109375" style="112" customWidth="1"/>
    <col min="8961" max="8962" width="6.5703125" style="112" customWidth="1"/>
    <col min="8963" max="8963" width="11" style="112" customWidth="1"/>
    <col min="8964" max="8964" width="8" style="112" customWidth="1"/>
    <col min="8965" max="8965" width="8.7109375" style="112" customWidth="1"/>
    <col min="8966" max="8966" width="9.7109375" style="112" customWidth="1"/>
    <col min="8967" max="8967" width="11.5703125" style="112" customWidth="1"/>
    <col min="8968" max="8968" width="0" style="112" hidden="1" customWidth="1"/>
    <col min="8969" max="8969" width="12.42578125" style="112" customWidth="1"/>
    <col min="8970" max="8970" width="11.7109375" style="112" customWidth="1"/>
    <col min="8971" max="8971" width="11.42578125" style="112" customWidth="1"/>
    <col min="8972" max="8972" width="13.28515625" style="112" customWidth="1"/>
    <col min="8973" max="8973" width="11.5703125" style="112" bestFit="1" customWidth="1"/>
    <col min="8974" max="9212" width="9.28515625" style="112"/>
    <col min="9213" max="9213" width="5" style="112" bestFit="1" customWidth="1"/>
    <col min="9214" max="9214" width="26.5703125" style="112" customWidth="1"/>
    <col min="9215" max="9216" width="9.7109375" style="112" customWidth="1"/>
    <col min="9217" max="9218" width="6.5703125" style="112" customWidth="1"/>
    <col min="9219" max="9219" width="11" style="112" customWidth="1"/>
    <col min="9220" max="9220" width="8" style="112" customWidth="1"/>
    <col min="9221" max="9221" width="8.7109375" style="112" customWidth="1"/>
    <col min="9222" max="9222" width="9.7109375" style="112" customWidth="1"/>
    <col min="9223" max="9223" width="11.5703125" style="112" customWidth="1"/>
    <col min="9224" max="9224" width="0" style="112" hidden="1" customWidth="1"/>
    <col min="9225" max="9225" width="12.42578125" style="112" customWidth="1"/>
    <col min="9226" max="9226" width="11.7109375" style="112" customWidth="1"/>
    <col min="9227" max="9227" width="11.42578125" style="112" customWidth="1"/>
    <col min="9228" max="9228" width="13.28515625" style="112" customWidth="1"/>
    <col min="9229" max="9229" width="11.5703125" style="112" bestFit="1" customWidth="1"/>
    <col min="9230" max="9468" width="9.28515625" style="112"/>
    <col min="9469" max="9469" width="5" style="112" bestFit="1" customWidth="1"/>
    <col min="9470" max="9470" width="26.5703125" style="112" customWidth="1"/>
    <col min="9471" max="9472" width="9.7109375" style="112" customWidth="1"/>
    <col min="9473" max="9474" width="6.5703125" style="112" customWidth="1"/>
    <col min="9475" max="9475" width="11" style="112" customWidth="1"/>
    <col min="9476" max="9476" width="8" style="112" customWidth="1"/>
    <col min="9477" max="9477" width="8.7109375" style="112" customWidth="1"/>
    <col min="9478" max="9478" width="9.7109375" style="112" customWidth="1"/>
    <col min="9479" max="9479" width="11.5703125" style="112" customWidth="1"/>
    <col min="9480" max="9480" width="0" style="112" hidden="1" customWidth="1"/>
    <col min="9481" max="9481" width="12.42578125" style="112" customWidth="1"/>
    <col min="9482" max="9482" width="11.7109375" style="112" customWidth="1"/>
    <col min="9483" max="9483" width="11.42578125" style="112" customWidth="1"/>
    <col min="9484" max="9484" width="13.28515625" style="112" customWidth="1"/>
    <col min="9485" max="9485" width="11.5703125" style="112" bestFit="1" customWidth="1"/>
    <col min="9486" max="9724" width="9.28515625" style="112"/>
    <col min="9725" max="9725" width="5" style="112" bestFit="1" customWidth="1"/>
    <col min="9726" max="9726" width="26.5703125" style="112" customWidth="1"/>
    <col min="9727" max="9728" width="9.7109375" style="112" customWidth="1"/>
    <col min="9729" max="9730" width="6.5703125" style="112" customWidth="1"/>
    <col min="9731" max="9731" width="11" style="112" customWidth="1"/>
    <col min="9732" max="9732" width="8" style="112" customWidth="1"/>
    <col min="9733" max="9733" width="8.7109375" style="112" customWidth="1"/>
    <col min="9734" max="9734" width="9.7109375" style="112" customWidth="1"/>
    <col min="9735" max="9735" width="11.5703125" style="112" customWidth="1"/>
    <col min="9736" max="9736" width="0" style="112" hidden="1" customWidth="1"/>
    <col min="9737" max="9737" width="12.42578125" style="112" customWidth="1"/>
    <col min="9738" max="9738" width="11.7109375" style="112" customWidth="1"/>
    <col min="9739" max="9739" width="11.42578125" style="112" customWidth="1"/>
    <col min="9740" max="9740" width="13.28515625" style="112" customWidth="1"/>
    <col min="9741" max="9741" width="11.5703125" style="112" bestFit="1" customWidth="1"/>
    <col min="9742" max="9980" width="9.28515625" style="112"/>
    <col min="9981" max="9981" width="5" style="112" bestFit="1" customWidth="1"/>
    <col min="9982" max="9982" width="26.5703125" style="112" customWidth="1"/>
    <col min="9983" max="9984" width="9.7109375" style="112" customWidth="1"/>
    <col min="9985" max="9986" width="6.5703125" style="112" customWidth="1"/>
    <col min="9987" max="9987" width="11" style="112" customWidth="1"/>
    <col min="9988" max="9988" width="8" style="112" customWidth="1"/>
    <col min="9989" max="9989" width="8.7109375" style="112" customWidth="1"/>
    <col min="9990" max="9990" width="9.7109375" style="112" customWidth="1"/>
    <col min="9991" max="9991" width="11.5703125" style="112" customWidth="1"/>
    <col min="9992" max="9992" width="0" style="112" hidden="1" customWidth="1"/>
    <col min="9993" max="9993" width="12.42578125" style="112" customWidth="1"/>
    <col min="9994" max="9994" width="11.7109375" style="112" customWidth="1"/>
    <col min="9995" max="9995" width="11.42578125" style="112" customWidth="1"/>
    <col min="9996" max="9996" width="13.28515625" style="112" customWidth="1"/>
    <col min="9997" max="9997" width="11.5703125" style="112" bestFit="1" customWidth="1"/>
    <col min="9998" max="10236" width="9.28515625" style="112"/>
    <col min="10237" max="10237" width="5" style="112" bestFit="1" customWidth="1"/>
    <col min="10238" max="10238" width="26.5703125" style="112" customWidth="1"/>
    <col min="10239" max="10240" width="9.7109375" style="112" customWidth="1"/>
    <col min="10241" max="10242" width="6.5703125" style="112" customWidth="1"/>
    <col min="10243" max="10243" width="11" style="112" customWidth="1"/>
    <col min="10244" max="10244" width="8" style="112" customWidth="1"/>
    <col min="10245" max="10245" width="8.7109375" style="112" customWidth="1"/>
    <col min="10246" max="10246" width="9.7109375" style="112" customWidth="1"/>
    <col min="10247" max="10247" width="11.5703125" style="112" customWidth="1"/>
    <col min="10248" max="10248" width="0" style="112" hidden="1" customWidth="1"/>
    <col min="10249" max="10249" width="12.42578125" style="112" customWidth="1"/>
    <col min="10250" max="10250" width="11.7109375" style="112" customWidth="1"/>
    <col min="10251" max="10251" width="11.42578125" style="112" customWidth="1"/>
    <col min="10252" max="10252" width="13.28515625" style="112" customWidth="1"/>
    <col min="10253" max="10253" width="11.5703125" style="112" bestFit="1" customWidth="1"/>
    <col min="10254" max="10492" width="9.28515625" style="112"/>
    <col min="10493" max="10493" width="5" style="112" bestFit="1" customWidth="1"/>
    <col min="10494" max="10494" width="26.5703125" style="112" customWidth="1"/>
    <col min="10495" max="10496" width="9.7109375" style="112" customWidth="1"/>
    <col min="10497" max="10498" width="6.5703125" style="112" customWidth="1"/>
    <col min="10499" max="10499" width="11" style="112" customWidth="1"/>
    <col min="10500" max="10500" width="8" style="112" customWidth="1"/>
    <col min="10501" max="10501" width="8.7109375" style="112" customWidth="1"/>
    <col min="10502" max="10502" width="9.7109375" style="112" customWidth="1"/>
    <col min="10503" max="10503" width="11.5703125" style="112" customWidth="1"/>
    <col min="10504" max="10504" width="0" style="112" hidden="1" customWidth="1"/>
    <col min="10505" max="10505" width="12.42578125" style="112" customWidth="1"/>
    <col min="10506" max="10506" width="11.7109375" style="112" customWidth="1"/>
    <col min="10507" max="10507" width="11.42578125" style="112" customWidth="1"/>
    <col min="10508" max="10508" width="13.28515625" style="112" customWidth="1"/>
    <col min="10509" max="10509" width="11.5703125" style="112" bestFit="1" customWidth="1"/>
    <col min="10510" max="10748" width="9.28515625" style="112"/>
    <col min="10749" max="10749" width="5" style="112" bestFit="1" customWidth="1"/>
    <col min="10750" max="10750" width="26.5703125" style="112" customWidth="1"/>
    <col min="10751" max="10752" width="9.7109375" style="112" customWidth="1"/>
    <col min="10753" max="10754" width="6.5703125" style="112" customWidth="1"/>
    <col min="10755" max="10755" width="11" style="112" customWidth="1"/>
    <col min="10756" max="10756" width="8" style="112" customWidth="1"/>
    <col min="10757" max="10757" width="8.7109375" style="112" customWidth="1"/>
    <col min="10758" max="10758" width="9.7109375" style="112" customWidth="1"/>
    <col min="10759" max="10759" width="11.5703125" style="112" customWidth="1"/>
    <col min="10760" max="10760" width="0" style="112" hidden="1" customWidth="1"/>
    <col min="10761" max="10761" width="12.42578125" style="112" customWidth="1"/>
    <col min="10762" max="10762" width="11.7109375" style="112" customWidth="1"/>
    <col min="10763" max="10763" width="11.42578125" style="112" customWidth="1"/>
    <col min="10764" max="10764" width="13.28515625" style="112" customWidth="1"/>
    <col min="10765" max="10765" width="11.5703125" style="112" bestFit="1" customWidth="1"/>
    <col min="10766" max="11004" width="9.28515625" style="112"/>
    <col min="11005" max="11005" width="5" style="112" bestFit="1" customWidth="1"/>
    <col min="11006" max="11006" width="26.5703125" style="112" customWidth="1"/>
    <col min="11007" max="11008" width="9.7109375" style="112" customWidth="1"/>
    <col min="11009" max="11010" width="6.5703125" style="112" customWidth="1"/>
    <col min="11011" max="11011" width="11" style="112" customWidth="1"/>
    <col min="11012" max="11012" width="8" style="112" customWidth="1"/>
    <col min="11013" max="11013" width="8.7109375" style="112" customWidth="1"/>
    <col min="11014" max="11014" width="9.7109375" style="112" customWidth="1"/>
    <col min="11015" max="11015" width="11.5703125" style="112" customWidth="1"/>
    <col min="11016" max="11016" width="0" style="112" hidden="1" customWidth="1"/>
    <col min="11017" max="11017" width="12.42578125" style="112" customWidth="1"/>
    <col min="11018" max="11018" width="11.7109375" style="112" customWidth="1"/>
    <col min="11019" max="11019" width="11.42578125" style="112" customWidth="1"/>
    <col min="11020" max="11020" width="13.28515625" style="112" customWidth="1"/>
    <col min="11021" max="11021" width="11.5703125" style="112" bestFit="1" customWidth="1"/>
    <col min="11022" max="11260" width="9.28515625" style="112"/>
    <col min="11261" max="11261" width="5" style="112" bestFit="1" customWidth="1"/>
    <col min="11262" max="11262" width="26.5703125" style="112" customWidth="1"/>
    <col min="11263" max="11264" width="9.7109375" style="112" customWidth="1"/>
    <col min="11265" max="11266" width="6.5703125" style="112" customWidth="1"/>
    <col min="11267" max="11267" width="11" style="112" customWidth="1"/>
    <col min="11268" max="11268" width="8" style="112" customWidth="1"/>
    <col min="11269" max="11269" width="8.7109375" style="112" customWidth="1"/>
    <col min="11270" max="11270" width="9.7109375" style="112" customWidth="1"/>
    <col min="11271" max="11271" width="11.5703125" style="112" customWidth="1"/>
    <col min="11272" max="11272" width="0" style="112" hidden="1" customWidth="1"/>
    <col min="11273" max="11273" width="12.42578125" style="112" customWidth="1"/>
    <col min="11274" max="11274" width="11.7109375" style="112" customWidth="1"/>
    <col min="11275" max="11275" width="11.42578125" style="112" customWidth="1"/>
    <col min="11276" max="11276" width="13.28515625" style="112" customWidth="1"/>
    <col min="11277" max="11277" width="11.5703125" style="112" bestFit="1" customWidth="1"/>
    <col min="11278" max="11516" width="9.28515625" style="112"/>
    <col min="11517" max="11517" width="5" style="112" bestFit="1" customWidth="1"/>
    <col min="11518" max="11518" width="26.5703125" style="112" customWidth="1"/>
    <col min="11519" max="11520" width="9.7109375" style="112" customWidth="1"/>
    <col min="11521" max="11522" width="6.5703125" style="112" customWidth="1"/>
    <col min="11523" max="11523" width="11" style="112" customWidth="1"/>
    <col min="11524" max="11524" width="8" style="112" customWidth="1"/>
    <col min="11525" max="11525" width="8.7109375" style="112" customWidth="1"/>
    <col min="11526" max="11526" width="9.7109375" style="112" customWidth="1"/>
    <col min="11527" max="11527" width="11.5703125" style="112" customWidth="1"/>
    <col min="11528" max="11528" width="0" style="112" hidden="1" customWidth="1"/>
    <col min="11529" max="11529" width="12.42578125" style="112" customWidth="1"/>
    <col min="11530" max="11530" width="11.7109375" style="112" customWidth="1"/>
    <col min="11531" max="11531" width="11.42578125" style="112" customWidth="1"/>
    <col min="11532" max="11532" width="13.28515625" style="112" customWidth="1"/>
    <col min="11533" max="11533" width="11.5703125" style="112" bestFit="1" customWidth="1"/>
    <col min="11534" max="11772" width="9.28515625" style="112"/>
    <col min="11773" max="11773" width="5" style="112" bestFit="1" customWidth="1"/>
    <col min="11774" max="11774" width="26.5703125" style="112" customWidth="1"/>
    <col min="11775" max="11776" width="9.7109375" style="112" customWidth="1"/>
    <col min="11777" max="11778" width="6.5703125" style="112" customWidth="1"/>
    <col min="11779" max="11779" width="11" style="112" customWidth="1"/>
    <col min="11780" max="11780" width="8" style="112" customWidth="1"/>
    <col min="11781" max="11781" width="8.7109375" style="112" customWidth="1"/>
    <col min="11782" max="11782" width="9.7109375" style="112" customWidth="1"/>
    <col min="11783" max="11783" width="11.5703125" style="112" customWidth="1"/>
    <col min="11784" max="11784" width="0" style="112" hidden="1" customWidth="1"/>
    <col min="11785" max="11785" width="12.42578125" style="112" customWidth="1"/>
    <col min="11786" max="11786" width="11.7109375" style="112" customWidth="1"/>
    <col min="11787" max="11787" width="11.42578125" style="112" customWidth="1"/>
    <col min="11788" max="11788" width="13.28515625" style="112" customWidth="1"/>
    <col min="11789" max="11789" width="11.5703125" style="112" bestFit="1" customWidth="1"/>
    <col min="11790" max="12028" width="9.28515625" style="112"/>
    <col min="12029" max="12029" width="5" style="112" bestFit="1" customWidth="1"/>
    <col min="12030" max="12030" width="26.5703125" style="112" customWidth="1"/>
    <col min="12031" max="12032" width="9.7109375" style="112" customWidth="1"/>
    <col min="12033" max="12034" width="6.5703125" style="112" customWidth="1"/>
    <col min="12035" max="12035" width="11" style="112" customWidth="1"/>
    <col min="12036" max="12036" width="8" style="112" customWidth="1"/>
    <col min="12037" max="12037" width="8.7109375" style="112" customWidth="1"/>
    <col min="12038" max="12038" width="9.7109375" style="112" customWidth="1"/>
    <col min="12039" max="12039" width="11.5703125" style="112" customWidth="1"/>
    <col min="12040" max="12040" width="0" style="112" hidden="1" customWidth="1"/>
    <col min="12041" max="12041" width="12.42578125" style="112" customWidth="1"/>
    <col min="12042" max="12042" width="11.7109375" style="112" customWidth="1"/>
    <col min="12043" max="12043" width="11.42578125" style="112" customWidth="1"/>
    <col min="12044" max="12044" width="13.28515625" style="112" customWidth="1"/>
    <col min="12045" max="12045" width="11.5703125" style="112" bestFit="1" customWidth="1"/>
    <col min="12046" max="12284" width="9.28515625" style="112"/>
    <col min="12285" max="12285" width="5" style="112" bestFit="1" customWidth="1"/>
    <col min="12286" max="12286" width="26.5703125" style="112" customWidth="1"/>
    <col min="12287" max="12288" width="9.7109375" style="112" customWidth="1"/>
    <col min="12289" max="12290" width="6.5703125" style="112" customWidth="1"/>
    <col min="12291" max="12291" width="11" style="112" customWidth="1"/>
    <col min="12292" max="12292" width="8" style="112" customWidth="1"/>
    <col min="12293" max="12293" width="8.7109375" style="112" customWidth="1"/>
    <col min="12294" max="12294" width="9.7109375" style="112" customWidth="1"/>
    <col min="12295" max="12295" width="11.5703125" style="112" customWidth="1"/>
    <col min="12296" max="12296" width="0" style="112" hidden="1" customWidth="1"/>
    <col min="12297" max="12297" width="12.42578125" style="112" customWidth="1"/>
    <col min="12298" max="12298" width="11.7109375" style="112" customWidth="1"/>
    <col min="12299" max="12299" width="11.42578125" style="112" customWidth="1"/>
    <col min="12300" max="12300" width="13.28515625" style="112" customWidth="1"/>
    <col min="12301" max="12301" width="11.5703125" style="112" bestFit="1" customWidth="1"/>
    <col min="12302" max="12540" width="9.28515625" style="112"/>
    <col min="12541" max="12541" width="5" style="112" bestFit="1" customWidth="1"/>
    <col min="12542" max="12542" width="26.5703125" style="112" customWidth="1"/>
    <col min="12543" max="12544" width="9.7109375" style="112" customWidth="1"/>
    <col min="12545" max="12546" width="6.5703125" style="112" customWidth="1"/>
    <col min="12547" max="12547" width="11" style="112" customWidth="1"/>
    <col min="12548" max="12548" width="8" style="112" customWidth="1"/>
    <col min="12549" max="12549" width="8.7109375" style="112" customWidth="1"/>
    <col min="12550" max="12550" width="9.7109375" style="112" customWidth="1"/>
    <col min="12551" max="12551" width="11.5703125" style="112" customWidth="1"/>
    <col min="12552" max="12552" width="0" style="112" hidden="1" customWidth="1"/>
    <col min="12553" max="12553" width="12.42578125" style="112" customWidth="1"/>
    <col min="12554" max="12554" width="11.7109375" style="112" customWidth="1"/>
    <col min="12555" max="12555" width="11.42578125" style="112" customWidth="1"/>
    <col min="12556" max="12556" width="13.28515625" style="112" customWidth="1"/>
    <col min="12557" max="12557" width="11.5703125" style="112" bestFit="1" customWidth="1"/>
    <col min="12558" max="12796" width="9.28515625" style="112"/>
    <col min="12797" max="12797" width="5" style="112" bestFit="1" customWidth="1"/>
    <col min="12798" max="12798" width="26.5703125" style="112" customWidth="1"/>
    <col min="12799" max="12800" width="9.7109375" style="112" customWidth="1"/>
    <col min="12801" max="12802" width="6.5703125" style="112" customWidth="1"/>
    <col min="12803" max="12803" width="11" style="112" customWidth="1"/>
    <col min="12804" max="12804" width="8" style="112" customWidth="1"/>
    <col min="12805" max="12805" width="8.7109375" style="112" customWidth="1"/>
    <col min="12806" max="12806" width="9.7109375" style="112" customWidth="1"/>
    <col min="12807" max="12807" width="11.5703125" style="112" customWidth="1"/>
    <col min="12808" max="12808" width="0" style="112" hidden="1" customWidth="1"/>
    <col min="12809" max="12809" width="12.42578125" style="112" customWidth="1"/>
    <col min="12810" max="12810" width="11.7109375" style="112" customWidth="1"/>
    <col min="12811" max="12811" width="11.42578125" style="112" customWidth="1"/>
    <col min="12812" max="12812" width="13.28515625" style="112" customWidth="1"/>
    <col min="12813" max="12813" width="11.5703125" style="112" bestFit="1" customWidth="1"/>
    <col min="12814" max="13052" width="9.28515625" style="112"/>
    <col min="13053" max="13053" width="5" style="112" bestFit="1" customWidth="1"/>
    <col min="13054" max="13054" width="26.5703125" style="112" customWidth="1"/>
    <col min="13055" max="13056" width="9.7109375" style="112" customWidth="1"/>
    <col min="13057" max="13058" width="6.5703125" style="112" customWidth="1"/>
    <col min="13059" max="13059" width="11" style="112" customWidth="1"/>
    <col min="13060" max="13060" width="8" style="112" customWidth="1"/>
    <col min="13061" max="13061" width="8.7109375" style="112" customWidth="1"/>
    <col min="13062" max="13062" width="9.7109375" style="112" customWidth="1"/>
    <col min="13063" max="13063" width="11.5703125" style="112" customWidth="1"/>
    <col min="13064" max="13064" width="0" style="112" hidden="1" customWidth="1"/>
    <col min="13065" max="13065" width="12.42578125" style="112" customWidth="1"/>
    <col min="13066" max="13066" width="11.7109375" style="112" customWidth="1"/>
    <col min="13067" max="13067" width="11.42578125" style="112" customWidth="1"/>
    <col min="13068" max="13068" width="13.28515625" style="112" customWidth="1"/>
    <col min="13069" max="13069" width="11.5703125" style="112" bestFit="1" customWidth="1"/>
    <col min="13070" max="13308" width="9.28515625" style="112"/>
    <col min="13309" max="13309" width="5" style="112" bestFit="1" customWidth="1"/>
    <col min="13310" max="13310" width="26.5703125" style="112" customWidth="1"/>
    <col min="13311" max="13312" width="9.7109375" style="112" customWidth="1"/>
    <col min="13313" max="13314" width="6.5703125" style="112" customWidth="1"/>
    <col min="13315" max="13315" width="11" style="112" customWidth="1"/>
    <col min="13316" max="13316" width="8" style="112" customWidth="1"/>
    <col min="13317" max="13317" width="8.7109375" style="112" customWidth="1"/>
    <col min="13318" max="13318" width="9.7109375" style="112" customWidth="1"/>
    <col min="13319" max="13319" width="11.5703125" style="112" customWidth="1"/>
    <col min="13320" max="13320" width="0" style="112" hidden="1" customWidth="1"/>
    <col min="13321" max="13321" width="12.42578125" style="112" customWidth="1"/>
    <col min="13322" max="13322" width="11.7109375" style="112" customWidth="1"/>
    <col min="13323" max="13323" width="11.42578125" style="112" customWidth="1"/>
    <col min="13324" max="13324" width="13.28515625" style="112" customWidth="1"/>
    <col min="13325" max="13325" width="11.5703125" style="112" bestFit="1" customWidth="1"/>
    <col min="13326" max="13564" width="9.28515625" style="112"/>
    <col min="13565" max="13565" width="5" style="112" bestFit="1" customWidth="1"/>
    <col min="13566" max="13566" width="26.5703125" style="112" customWidth="1"/>
    <col min="13567" max="13568" width="9.7109375" style="112" customWidth="1"/>
    <col min="13569" max="13570" width="6.5703125" style="112" customWidth="1"/>
    <col min="13571" max="13571" width="11" style="112" customWidth="1"/>
    <col min="13572" max="13572" width="8" style="112" customWidth="1"/>
    <col min="13573" max="13573" width="8.7109375" style="112" customWidth="1"/>
    <col min="13574" max="13574" width="9.7109375" style="112" customWidth="1"/>
    <col min="13575" max="13575" width="11.5703125" style="112" customWidth="1"/>
    <col min="13576" max="13576" width="0" style="112" hidden="1" customWidth="1"/>
    <col min="13577" max="13577" width="12.42578125" style="112" customWidth="1"/>
    <col min="13578" max="13578" width="11.7109375" style="112" customWidth="1"/>
    <col min="13579" max="13579" width="11.42578125" style="112" customWidth="1"/>
    <col min="13580" max="13580" width="13.28515625" style="112" customWidth="1"/>
    <col min="13581" max="13581" width="11.5703125" style="112" bestFit="1" customWidth="1"/>
    <col min="13582" max="13820" width="9.28515625" style="112"/>
    <col min="13821" max="13821" width="5" style="112" bestFit="1" customWidth="1"/>
    <col min="13822" max="13822" width="26.5703125" style="112" customWidth="1"/>
    <col min="13823" max="13824" width="9.7109375" style="112" customWidth="1"/>
    <col min="13825" max="13826" width="6.5703125" style="112" customWidth="1"/>
    <col min="13827" max="13827" width="11" style="112" customWidth="1"/>
    <col min="13828" max="13828" width="8" style="112" customWidth="1"/>
    <col min="13829" max="13829" width="8.7109375" style="112" customWidth="1"/>
    <col min="13830" max="13830" width="9.7109375" style="112" customWidth="1"/>
    <col min="13831" max="13831" width="11.5703125" style="112" customWidth="1"/>
    <col min="13832" max="13832" width="0" style="112" hidden="1" customWidth="1"/>
    <col min="13833" max="13833" width="12.42578125" style="112" customWidth="1"/>
    <col min="13834" max="13834" width="11.7109375" style="112" customWidth="1"/>
    <col min="13835" max="13835" width="11.42578125" style="112" customWidth="1"/>
    <col min="13836" max="13836" width="13.28515625" style="112" customWidth="1"/>
    <col min="13837" max="13837" width="11.5703125" style="112" bestFit="1" customWidth="1"/>
    <col min="13838" max="14076" width="9.28515625" style="112"/>
    <col min="14077" max="14077" width="5" style="112" bestFit="1" customWidth="1"/>
    <col min="14078" max="14078" width="26.5703125" style="112" customWidth="1"/>
    <col min="14079" max="14080" width="9.7109375" style="112" customWidth="1"/>
    <col min="14081" max="14082" width="6.5703125" style="112" customWidth="1"/>
    <col min="14083" max="14083" width="11" style="112" customWidth="1"/>
    <col min="14084" max="14084" width="8" style="112" customWidth="1"/>
    <col min="14085" max="14085" width="8.7109375" style="112" customWidth="1"/>
    <col min="14086" max="14086" width="9.7109375" style="112" customWidth="1"/>
    <col min="14087" max="14087" width="11.5703125" style="112" customWidth="1"/>
    <col min="14088" max="14088" width="0" style="112" hidden="1" customWidth="1"/>
    <col min="14089" max="14089" width="12.42578125" style="112" customWidth="1"/>
    <col min="14090" max="14090" width="11.7109375" style="112" customWidth="1"/>
    <col min="14091" max="14091" width="11.42578125" style="112" customWidth="1"/>
    <col min="14092" max="14092" width="13.28515625" style="112" customWidth="1"/>
    <col min="14093" max="14093" width="11.5703125" style="112" bestFit="1" customWidth="1"/>
    <col min="14094" max="14332" width="9.28515625" style="112"/>
    <col min="14333" max="14333" width="5" style="112" bestFit="1" customWidth="1"/>
    <col min="14334" max="14334" width="26.5703125" style="112" customWidth="1"/>
    <col min="14335" max="14336" width="9.7109375" style="112" customWidth="1"/>
    <col min="14337" max="14338" width="6.5703125" style="112" customWidth="1"/>
    <col min="14339" max="14339" width="11" style="112" customWidth="1"/>
    <col min="14340" max="14340" width="8" style="112" customWidth="1"/>
    <col min="14341" max="14341" width="8.7109375" style="112" customWidth="1"/>
    <col min="14342" max="14342" width="9.7109375" style="112" customWidth="1"/>
    <col min="14343" max="14343" width="11.5703125" style="112" customWidth="1"/>
    <col min="14344" max="14344" width="0" style="112" hidden="1" customWidth="1"/>
    <col min="14345" max="14345" width="12.42578125" style="112" customWidth="1"/>
    <col min="14346" max="14346" width="11.7109375" style="112" customWidth="1"/>
    <col min="14347" max="14347" width="11.42578125" style="112" customWidth="1"/>
    <col min="14348" max="14348" width="13.28515625" style="112" customWidth="1"/>
    <col min="14349" max="14349" width="11.5703125" style="112" bestFit="1" customWidth="1"/>
    <col min="14350" max="14588" width="9.28515625" style="112"/>
    <col min="14589" max="14589" width="5" style="112" bestFit="1" customWidth="1"/>
    <col min="14590" max="14590" width="26.5703125" style="112" customWidth="1"/>
    <col min="14591" max="14592" width="9.7109375" style="112" customWidth="1"/>
    <col min="14593" max="14594" width="6.5703125" style="112" customWidth="1"/>
    <col min="14595" max="14595" width="11" style="112" customWidth="1"/>
    <col min="14596" max="14596" width="8" style="112" customWidth="1"/>
    <col min="14597" max="14597" width="8.7109375" style="112" customWidth="1"/>
    <col min="14598" max="14598" width="9.7109375" style="112" customWidth="1"/>
    <col min="14599" max="14599" width="11.5703125" style="112" customWidth="1"/>
    <col min="14600" max="14600" width="0" style="112" hidden="1" customWidth="1"/>
    <col min="14601" max="14601" width="12.42578125" style="112" customWidth="1"/>
    <col min="14602" max="14602" width="11.7109375" style="112" customWidth="1"/>
    <col min="14603" max="14603" width="11.42578125" style="112" customWidth="1"/>
    <col min="14604" max="14604" width="13.28515625" style="112" customWidth="1"/>
    <col min="14605" max="14605" width="11.5703125" style="112" bestFit="1" customWidth="1"/>
    <col min="14606" max="14844" width="9.28515625" style="112"/>
    <col min="14845" max="14845" width="5" style="112" bestFit="1" customWidth="1"/>
    <col min="14846" max="14846" width="26.5703125" style="112" customWidth="1"/>
    <col min="14847" max="14848" width="9.7109375" style="112" customWidth="1"/>
    <col min="14849" max="14850" width="6.5703125" style="112" customWidth="1"/>
    <col min="14851" max="14851" width="11" style="112" customWidth="1"/>
    <col min="14852" max="14852" width="8" style="112" customWidth="1"/>
    <col min="14853" max="14853" width="8.7109375" style="112" customWidth="1"/>
    <col min="14854" max="14854" width="9.7109375" style="112" customWidth="1"/>
    <col min="14855" max="14855" width="11.5703125" style="112" customWidth="1"/>
    <col min="14856" max="14856" width="0" style="112" hidden="1" customWidth="1"/>
    <col min="14857" max="14857" width="12.42578125" style="112" customWidth="1"/>
    <col min="14858" max="14858" width="11.7109375" style="112" customWidth="1"/>
    <col min="14859" max="14859" width="11.42578125" style="112" customWidth="1"/>
    <col min="14860" max="14860" width="13.28515625" style="112" customWidth="1"/>
    <col min="14861" max="14861" width="11.5703125" style="112" bestFit="1" customWidth="1"/>
    <col min="14862" max="15100" width="9.28515625" style="112"/>
    <col min="15101" max="15101" width="5" style="112" bestFit="1" customWidth="1"/>
    <col min="15102" max="15102" width="26.5703125" style="112" customWidth="1"/>
    <col min="15103" max="15104" width="9.7109375" style="112" customWidth="1"/>
    <col min="15105" max="15106" width="6.5703125" style="112" customWidth="1"/>
    <col min="15107" max="15107" width="11" style="112" customWidth="1"/>
    <col min="15108" max="15108" width="8" style="112" customWidth="1"/>
    <col min="15109" max="15109" width="8.7109375" style="112" customWidth="1"/>
    <col min="15110" max="15110" width="9.7109375" style="112" customWidth="1"/>
    <col min="15111" max="15111" width="11.5703125" style="112" customWidth="1"/>
    <col min="15112" max="15112" width="0" style="112" hidden="1" customWidth="1"/>
    <col min="15113" max="15113" width="12.42578125" style="112" customWidth="1"/>
    <col min="15114" max="15114" width="11.7109375" style="112" customWidth="1"/>
    <col min="15115" max="15115" width="11.42578125" style="112" customWidth="1"/>
    <col min="15116" max="15116" width="13.28515625" style="112" customWidth="1"/>
    <col min="15117" max="15117" width="11.5703125" style="112" bestFit="1" customWidth="1"/>
    <col min="15118" max="15356" width="9.28515625" style="112"/>
    <col min="15357" max="15357" width="5" style="112" bestFit="1" customWidth="1"/>
    <col min="15358" max="15358" width="26.5703125" style="112" customWidth="1"/>
    <col min="15359" max="15360" width="9.7109375" style="112" customWidth="1"/>
    <col min="15361" max="15362" width="6.5703125" style="112" customWidth="1"/>
    <col min="15363" max="15363" width="11" style="112" customWidth="1"/>
    <col min="15364" max="15364" width="8" style="112" customWidth="1"/>
    <col min="15365" max="15365" width="8.7109375" style="112" customWidth="1"/>
    <col min="15366" max="15366" width="9.7109375" style="112" customWidth="1"/>
    <col min="15367" max="15367" width="11.5703125" style="112" customWidth="1"/>
    <col min="15368" max="15368" width="0" style="112" hidden="1" customWidth="1"/>
    <col min="15369" max="15369" width="12.42578125" style="112" customWidth="1"/>
    <col min="15370" max="15370" width="11.7109375" style="112" customWidth="1"/>
    <col min="15371" max="15371" width="11.42578125" style="112" customWidth="1"/>
    <col min="15372" max="15372" width="13.28515625" style="112" customWidth="1"/>
    <col min="15373" max="15373" width="11.5703125" style="112" bestFit="1" customWidth="1"/>
    <col min="15374" max="15612" width="9.28515625" style="112"/>
    <col min="15613" max="15613" width="5" style="112" bestFit="1" customWidth="1"/>
    <col min="15614" max="15614" width="26.5703125" style="112" customWidth="1"/>
    <col min="15615" max="15616" width="9.7109375" style="112" customWidth="1"/>
    <col min="15617" max="15618" width="6.5703125" style="112" customWidth="1"/>
    <col min="15619" max="15619" width="11" style="112" customWidth="1"/>
    <col min="15620" max="15620" width="8" style="112" customWidth="1"/>
    <col min="15621" max="15621" width="8.7109375" style="112" customWidth="1"/>
    <col min="15622" max="15622" width="9.7109375" style="112" customWidth="1"/>
    <col min="15623" max="15623" width="11.5703125" style="112" customWidth="1"/>
    <col min="15624" max="15624" width="0" style="112" hidden="1" customWidth="1"/>
    <col min="15625" max="15625" width="12.42578125" style="112" customWidth="1"/>
    <col min="15626" max="15626" width="11.7109375" style="112" customWidth="1"/>
    <col min="15627" max="15627" width="11.42578125" style="112" customWidth="1"/>
    <col min="15628" max="15628" width="13.28515625" style="112" customWidth="1"/>
    <col min="15629" max="15629" width="11.5703125" style="112" bestFit="1" customWidth="1"/>
    <col min="15630" max="15868" width="9.28515625" style="112"/>
    <col min="15869" max="15869" width="5" style="112" bestFit="1" customWidth="1"/>
    <col min="15870" max="15870" width="26.5703125" style="112" customWidth="1"/>
    <col min="15871" max="15872" width="9.7109375" style="112" customWidth="1"/>
    <col min="15873" max="15874" width="6.5703125" style="112" customWidth="1"/>
    <col min="15875" max="15875" width="11" style="112" customWidth="1"/>
    <col min="15876" max="15876" width="8" style="112" customWidth="1"/>
    <col min="15877" max="15877" width="8.7109375" style="112" customWidth="1"/>
    <col min="15878" max="15878" width="9.7109375" style="112" customWidth="1"/>
    <col min="15879" max="15879" width="11.5703125" style="112" customWidth="1"/>
    <col min="15880" max="15880" width="0" style="112" hidden="1" customWidth="1"/>
    <col min="15881" max="15881" width="12.42578125" style="112" customWidth="1"/>
    <col min="15882" max="15882" width="11.7109375" style="112" customWidth="1"/>
    <col min="15883" max="15883" width="11.42578125" style="112" customWidth="1"/>
    <col min="15884" max="15884" width="13.28515625" style="112" customWidth="1"/>
    <col min="15885" max="15885" width="11.5703125" style="112" bestFit="1" customWidth="1"/>
    <col min="15886" max="16124" width="9.28515625" style="112"/>
    <col min="16125" max="16125" width="5" style="112" bestFit="1" customWidth="1"/>
    <col min="16126" max="16126" width="26.5703125" style="112" customWidth="1"/>
    <col min="16127" max="16128" width="9.7109375" style="112" customWidth="1"/>
    <col min="16129" max="16130" width="6.5703125" style="112" customWidth="1"/>
    <col min="16131" max="16131" width="11" style="112" customWidth="1"/>
    <col min="16132" max="16132" width="8" style="112" customWidth="1"/>
    <col min="16133" max="16133" width="8.7109375" style="112" customWidth="1"/>
    <col min="16134" max="16134" width="9.7109375" style="112" customWidth="1"/>
    <col min="16135" max="16135" width="11.5703125" style="112" customWidth="1"/>
    <col min="16136" max="16136" width="0" style="112" hidden="1" customWidth="1"/>
    <col min="16137" max="16137" width="12.42578125" style="112" customWidth="1"/>
    <col min="16138" max="16138" width="11.7109375" style="112" customWidth="1"/>
    <col min="16139" max="16139" width="11.42578125" style="112" customWidth="1"/>
    <col min="16140" max="16140" width="13.28515625" style="112" customWidth="1"/>
    <col min="16141" max="16141" width="11.5703125" style="112" bestFit="1" customWidth="1"/>
    <col min="16142" max="16384" width="9.28515625" style="112"/>
  </cols>
  <sheetData>
    <row r="1" spans="1:34">
      <c r="AD1" s="63" t="s">
        <v>290</v>
      </c>
    </row>
    <row r="2" spans="1:34">
      <c r="AD2" s="64" t="s">
        <v>291</v>
      </c>
    </row>
    <row r="3" spans="1:34">
      <c r="AD3" s="63" t="s">
        <v>292</v>
      </c>
    </row>
    <row r="4" spans="1:34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157"/>
      <c r="V4" s="157"/>
      <c r="W4" s="157"/>
      <c r="X4" s="157"/>
      <c r="Y4" s="157"/>
      <c r="Z4" s="157"/>
      <c r="AA4" s="157"/>
      <c r="AD4" s="63" t="s">
        <v>293</v>
      </c>
    </row>
    <row r="5" spans="1:34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158"/>
      <c r="V5" s="158"/>
      <c r="W5" s="158"/>
      <c r="X5" s="158"/>
      <c r="Y5" s="158"/>
      <c r="Z5" s="158"/>
      <c r="AA5" s="158"/>
      <c r="AD5" s="2" t="s">
        <v>300</v>
      </c>
    </row>
    <row r="6" spans="1:34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158"/>
      <c r="V6" s="158"/>
      <c r="W6" s="158"/>
      <c r="X6" s="158"/>
      <c r="Y6" s="158"/>
      <c r="Z6" s="158"/>
      <c r="AA6" s="158"/>
      <c r="AB6" s="158"/>
      <c r="AC6" s="158"/>
      <c r="AD6" s="158"/>
    </row>
    <row r="7" spans="1:34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90"/>
      <c r="Z7" s="90"/>
      <c r="AA7" s="90"/>
      <c r="AB7" s="88"/>
      <c r="AC7" s="88"/>
      <c r="AD7" s="88"/>
    </row>
    <row r="8" spans="1:34" ht="14.25">
      <c r="A8" s="376" t="s">
        <v>212</v>
      </c>
      <c r="B8" s="376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6"/>
      <c r="AA8" s="376"/>
      <c r="AB8" s="376"/>
      <c r="AC8" s="376"/>
      <c r="AD8" s="376"/>
    </row>
    <row r="9" spans="1:34">
      <c r="B9" s="15" t="s">
        <v>289</v>
      </c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</row>
    <row r="10" spans="1:34">
      <c r="B10" s="15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59"/>
      <c r="Y10" s="159"/>
      <c r="Z10" s="159"/>
      <c r="AA10" s="159"/>
      <c r="AB10" s="159"/>
    </row>
    <row r="11" spans="1:34">
      <c r="A11" s="370" t="s">
        <v>0</v>
      </c>
      <c r="B11" s="370" t="s">
        <v>149</v>
      </c>
      <c r="C11" s="370" t="s">
        <v>150</v>
      </c>
      <c r="D11" s="370" t="s">
        <v>151</v>
      </c>
      <c r="E11" s="370" t="s">
        <v>152</v>
      </c>
      <c r="F11" s="371" t="s">
        <v>153</v>
      </c>
      <c r="G11" s="360" t="s">
        <v>154</v>
      </c>
      <c r="H11" s="361"/>
      <c r="I11" s="361"/>
      <c r="J11" s="361"/>
      <c r="K11" s="361"/>
      <c r="L11" s="361"/>
      <c r="M11" s="361"/>
      <c r="N11" s="361"/>
      <c r="O11" s="361"/>
      <c r="P11" s="361"/>
      <c r="Q11" s="362"/>
      <c r="R11" s="370" t="s">
        <v>155</v>
      </c>
      <c r="S11" s="370" t="s">
        <v>156</v>
      </c>
      <c r="T11" s="370" t="s">
        <v>157</v>
      </c>
      <c r="U11" s="370" t="s">
        <v>158</v>
      </c>
      <c r="V11" s="370" t="s">
        <v>213</v>
      </c>
      <c r="W11" s="370" t="s">
        <v>159</v>
      </c>
      <c r="X11" s="354" t="s">
        <v>214</v>
      </c>
      <c r="Y11" s="354" t="s">
        <v>158</v>
      </c>
      <c r="Z11" s="372" t="s">
        <v>208</v>
      </c>
      <c r="AA11" s="373"/>
      <c r="AB11" s="354" t="s">
        <v>160</v>
      </c>
      <c r="AC11" s="354" t="s">
        <v>161</v>
      </c>
      <c r="AD11" s="354" t="s">
        <v>162</v>
      </c>
    </row>
    <row r="12" spans="1:34" ht="88.15" customHeight="1">
      <c r="A12" s="370"/>
      <c r="B12" s="370"/>
      <c r="C12" s="370"/>
      <c r="D12" s="370"/>
      <c r="E12" s="370"/>
      <c r="F12" s="371"/>
      <c r="G12" s="370" t="s">
        <v>163</v>
      </c>
      <c r="H12" s="370"/>
      <c r="I12" s="91" t="s">
        <v>164</v>
      </c>
      <c r="J12" s="370" t="s">
        <v>165</v>
      </c>
      <c r="K12" s="370"/>
      <c r="L12" s="366" t="s">
        <v>166</v>
      </c>
      <c r="M12" s="367"/>
      <c r="N12" s="370" t="s">
        <v>215</v>
      </c>
      <c r="O12" s="370"/>
      <c r="P12" s="368" t="s">
        <v>168</v>
      </c>
      <c r="Q12" s="369"/>
      <c r="R12" s="370"/>
      <c r="S12" s="370"/>
      <c r="T12" s="370"/>
      <c r="U12" s="370"/>
      <c r="V12" s="370"/>
      <c r="W12" s="370"/>
      <c r="X12" s="356"/>
      <c r="Y12" s="356"/>
      <c r="Z12" s="374"/>
      <c r="AA12" s="375"/>
      <c r="AB12" s="356"/>
      <c r="AC12" s="356"/>
      <c r="AD12" s="356"/>
    </row>
    <row r="13" spans="1:34">
      <c r="A13" s="370"/>
      <c r="B13" s="370"/>
      <c r="C13" s="370"/>
      <c r="D13" s="370"/>
      <c r="E13" s="370"/>
      <c r="F13" s="371"/>
      <c r="G13" s="94" t="s">
        <v>169</v>
      </c>
      <c r="H13" s="94" t="s">
        <v>170</v>
      </c>
      <c r="I13" s="94" t="s">
        <v>170</v>
      </c>
      <c r="J13" s="94" t="s">
        <v>169</v>
      </c>
      <c r="K13" s="94" t="s">
        <v>170</v>
      </c>
      <c r="L13" s="94" t="s">
        <v>169</v>
      </c>
      <c r="M13" s="94" t="s">
        <v>170</v>
      </c>
      <c r="N13" s="94" t="s">
        <v>169</v>
      </c>
      <c r="O13" s="94" t="s">
        <v>170</v>
      </c>
      <c r="P13" s="94" t="s">
        <v>169</v>
      </c>
      <c r="Q13" s="94" t="s">
        <v>170</v>
      </c>
      <c r="R13" s="94" t="s">
        <v>170</v>
      </c>
      <c r="S13" s="94" t="s">
        <v>170</v>
      </c>
      <c r="T13" s="94" t="s">
        <v>170</v>
      </c>
      <c r="U13" s="94" t="s">
        <v>170</v>
      </c>
      <c r="V13" s="94" t="s">
        <v>170</v>
      </c>
      <c r="W13" s="94" t="s">
        <v>170</v>
      </c>
      <c r="X13" s="94" t="s">
        <v>170</v>
      </c>
      <c r="Y13" s="94" t="s">
        <v>170</v>
      </c>
      <c r="Z13" s="94" t="s">
        <v>227</v>
      </c>
      <c r="AA13" s="94" t="s">
        <v>170</v>
      </c>
      <c r="AB13" s="94" t="s">
        <v>170</v>
      </c>
      <c r="AC13" s="94"/>
      <c r="AD13" s="94" t="s">
        <v>170</v>
      </c>
    </row>
    <row r="14" spans="1:34">
      <c r="A14" s="94">
        <v>1</v>
      </c>
      <c r="B14" s="94">
        <v>2</v>
      </c>
      <c r="C14" s="94">
        <v>3</v>
      </c>
      <c r="D14" s="94">
        <v>4</v>
      </c>
      <c r="E14" s="94">
        <v>5</v>
      </c>
      <c r="F14" s="94">
        <v>6</v>
      </c>
      <c r="G14" s="94">
        <v>7</v>
      </c>
      <c r="H14" s="94">
        <v>8</v>
      </c>
      <c r="I14" s="94">
        <v>9</v>
      </c>
      <c r="J14" s="94">
        <v>10</v>
      </c>
      <c r="K14" s="94">
        <v>11</v>
      </c>
      <c r="L14" s="94">
        <v>12</v>
      </c>
      <c r="M14" s="94">
        <v>13</v>
      </c>
      <c r="N14" s="94">
        <v>9</v>
      </c>
      <c r="O14" s="94">
        <v>10</v>
      </c>
      <c r="P14" s="94">
        <v>11</v>
      </c>
      <c r="Q14" s="94">
        <v>12</v>
      </c>
      <c r="R14" s="94">
        <v>13</v>
      </c>
      <c r="S14" s="94">
        <v>14</v>
      </c>
      <c r="T14" s="94">
        <v>20</v>
      </c>
      <c r="U14" s="94">
        <v>21</v>
      </c>
      <c r="V14" s="95" t="s">
        <v>171</v>
      </c>
      <c r="W14" s="95" t="s">
        <v>172</v>
      </c>
      <c r="X14" s="95" t="s">
        <v>173</v>
      </c>
      <c r="Y14" s="95" t="s">
        <v>174</v>
      </c>
      <c r="Z14" s="95" t="s">
        <v>209</v>
      </c>
      <c r="AA14" s="95" t="s">
        <v>216</v>
      </c>
      <c r="AB14" s="95" t="s">
        <v>217</v>
      </c>
      <c r="AC14" s="95" t="s">
        <v>228</v>
      </c>
      <c r="AD14" s="95" t="s">
        <v>229</v>
      </c>
    </row>
    <row r="15" spans="1:34" ht="13.9" customHeight="1">
      <c r="A15" s="382" t="s">
        <v>226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  <c r="AC15" s="383"/>
      <c r="AD15" s="384"/>
    </row>
    <row r="16" spans="1:34" ht="13.9" customHeight="1">
      <c r="A16" s="379" t="s">
        <v>218</v>
      </c>
      <c r="B16" s="380"/>
      <c r="C16" s="380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1"/>
      <c r="AG16" s="126"/>
      <c r="AH16" s="126"/>
    </row>
    <row r="17" spans="1:34">
      <c r="A17" s="166">
        <v>1</v>
      </c>
      <c r="B17" s="24" t="s">
        <v>203</v>
      </c>
      <c r="C17" s="117">
        <v>1</v>
      </c>
      <c r="D17" s="162">
        <v>7040</v>
      </c>
      <c r="E17" s="167">
        <v>1.4</v>
      </c>
      <c r="F17" s="162">
        <f t="shared" ref="F17:F28" si="0">+E17*D17</f>
        <v>9856</v>
      </c>
      <c r="G17" s="142"/>
      <c r="H17" s="162"/>
      <c r="I17" s="168"/>
      <c r="J17" s="145"/>
      <c r="K17" s="134"/>
      <c r="L17" s="134">
        <f t="shared" ref="L17" si="1">K17</f>
        <v>0</v>
      </c>
      <c r="M17" s="134"/>
      <c r="N17" s="134"/>
      <c r="O17" s="162">
        <v>4000</v>
      </c>
      <c r="P17" s="142">
        <v>0.2</v>
      </c>
      <c r="Q17" s="98">
        <f>+F17*P17</f>
        <v>1971.2</v>
      </c>
      <c r="R17" s="98">
        <f>+F17+H17+I17+K17+O17+Q17</f>
        <v>15827.2</v>
      </c>
      <c r="S17" s="98">
        <f t="shared" ref="S17:S28" si="2">R17*C17</f>
        <v>15827.2</v>
      </c>
      <c r="T17" s="98"/>
      <c r="U17" s="98"/>
      <c r="V17" s="98">
        <f t="shared" ref="V17:V28" si="3">6200*4</f>
        <v>24800</v>
      </c>
      <c r="W17" s="98">
        <f t="shared" ref="W17:W28" si="4">(S17*14.0135)/12</f>
        <v>18482.872266666669</v>
      </c>
      <c r="X17" s="162">
        <f t="shared" ref="X17:X28" si="5">(((S17+(S17*14.0135/12/12)))*3/3/29.6)*30</f>
        <v>17602.134481981982</v>
      </c>
      <c r="Y17" s="98">
        <f t="shared" ref="Y17:Y28" si="6">S17*2</f>
        <v>31654.400000000001</v>
      </c>
      <c r="Z17" s="98"/>
      <c r="AA17" s="98"/>
      <c r="AB17" s="162">
        <f>(S17*8)+T17+U17+W17+X17+Y17+V17+AA17</f>
        <v>219157.00674864865</v>
      </c>
      <c r="AC17" s="162">
        <f>((S17*8)+T17+V17+X17+W17)*0.1725</f>
        <v>32344.199664141892</v>
      </c>
      <c r="AD17" s="162">
        <f>AB17+AC17</f>
        <v>251501.20641279055</v>
      </c>
    </row>
    <row r="18" spans="1:34">
      <c r="A18" s="166">
        <v>2</v>
      </c>
      <c r="B18" s="24" t="s">
        <v>219</v>
      </c>
      <c r="C18" s="117">
        <v>1</v>
      </c>
      <c r="D18" s="162">
        <v>7040</v>
      </c>
      <c r="E18" s="167">
        <v>1.2</v>
      </c>
      <c r="F18" s="162">
        <f t="shared" si="0"/>
        <v>8448</v>
      </c>
      <c r="G18" s="142"/>
      <c r="H18" s="162"/>
      <c r="I18" s="168"/>
      <c r="J18" s="145"/>
      <c r="K18" s="134"/>
      <c r="L18" s="134">
        <f t="shared" ref="L18:L24" si="7">K18*7</f>
        <v>0</v>
      </c>
      <c r="M18" s="134"/>
      <c r="N18" s="134"/>
      <c r="O18" s="162">
        <v>13000</v>
      </c>
      <c r="P18" s="142"/>
      <c r="Q18" s="98"/>
      <c r="R18" s="98">
        <f t="shared" ref="R18:R28" si="8">+F18+H18+I18+K18+O18+Q18</f>
        <v>21448</v>
      </c>
      <c r="S18" s="98">
        <f t="shared" si="2"/>
        <v>21448</v>
      </c>
      <c r="T18" s="98"/>
      <c r="U18" s="98"/>
      <c r="V18" s="98">
        <f t="shared" si="3"/>
        <v>24800</v>
      </c>
      <c r="W18" s="98">
        <f t="shared" si="4"/>
        <v>25046.795666666669</v>
      </c>
      <c r="X18" s="162">
        <f t="shared" si="5"/>
        <v>23853.276661036038</v>
      </c>
      <c r="Y18" s="98">
        <f t="shared" si="6"/>
        <v>42896</v>
      </c>
      <c r="Z18" s="98"/>
      <c r="AA18" s="98"/>
      <c r="AB18" s="162">
        <f t="shared" ref="AB18:AB28" si="9">(S18*8)+T18+U18+W18+X18+Y18+V18+AA18</f>
        <v>288180.07232770271</v>
      </c>
      <c r="AC18" s="162">
        <f t="shared" ref="AC18:AC28" si="10">((S18*8)+T18+V18+X18+W18)*0.1725</f>
        <v>42311.502476528716</v>
      </c>
      <c r="AD18" s="162">
        <f t="shared" ref="AD18:AD28" si="11">AB18+AC18</f>
        <v>330491.57480423141</v>
      </c>
      <c r="AG18" s="126"/>
      <c r="AH18" s="126"/>
    </row>
    <row r="19" spans="1:34">
      <c r="A19" s="166">
        <v>3</v>
      </c>
      <c r="B19" s="24" t="s">
        <v>219</v>
      </c>
      <c r="C19" s="117">
        <v>1</v>
      </c>
      <c r="D19" s="162">
        <v>7040</v>
      </c>
      <c r="E19" s="167">
        <v>1.2</v>
      </c>
      <c r="F19" s="162">
        <f t="shared" si="0"/>
        <v>8448</v>
      </c>
      <c r="G19" s="142"/>
      <c r="H19" s="162"/>
      <c r="I19" s="168"/>
      <c r="J19" s="145"/>
      <c r="K19" s="134"/>
      <c r="L19" s="134">
        <f t="shared" si="7"/>
        <v>0</v>
      </c>
      <c r="M19" s="134"/>
      <c r="N19" s="134"/>
      <c r="O19" s="162">
        <v>13000</v>
      </c>
      <c r="P19" s="142"/>
      <c r="Q19" s="98"/>
      <c r="R19" s="98">
        <f t="shared" si="8"/>
        <v>21448</v>
      </c>
      <c r="S19" s="98">
        <f t="shared" si="2"/>
        <v>21448</v>
      </c>
      <c r="T19" s="98"/>
      <c r="U19" s="98"/>
      <c r="V19" s="98">
        <f t="shared" si="3"/>
        <v>24800</v>
      </c>
      <c r="W19" s="98">
        <f t="shared" si="4"/>
        <v>25046.795666666669</v>
      </c>
      <c r="X19" s="162">
        <f t="shared" si="5"/>
        <v>23853.276661036038</v>
      </c>
      <c r="Y19" s="98">
        <f t="shared" si="6"/>
        <v>42896</v>
      </c>
      <c r="Z19" s="98"/>
      <c r="AA19" s="98"/>
      <c r="AB19" s="162">
        <f t="shared" si="9"/>
        <v>288180.07232770271</v>
      </c>
      <c r="AC19" s="162">
        <f t="shared" si="10"/>
        <v>42311.502476528716</v>
      </c>
      <c r="AD19" s="162">
        <f t="shared" si="11"/>
        <v>330491.57480423141</v>
      </c>
    </row>
    <row r="20" spans="1:34">
      <c r="A20" s="166">
        <v>4</v>
      </c>
      <c r="B20" s="24" t="s">
        <v>219</v>
      </c>
      <c r="C20" s="117">
        <v>1</v>
      </c>
      <c r="D20" s="162">
        <v>7040</v>
      </c>
      <c r="E20" s="167">
        <v>1.2</v>
      </c>
      <c r="F20" s="162">
        <f t="shared" si="0"/>
        <v>8448</v>
      </c>
      <c r="G20" s="142"/>
      <c r="H20" s="162"/>
      <c r="I20" s="168"/>
      <c r="J20" s="145"/>
      <c r="K20" s="134"/>
      <c r="L20" s="134">
        <f t="shared" si="7"/>
        <v>0</v>
      </c>
      <c r="M20" s="134"/>
      <c r="N20" s="134"/>
      <c r="O20" s="162">
        <v>13000</v>
      </c>
      <c r="P20" s="142"/>
      <c r="Q20" s="98"/>
      <c r="R20" s="98">
        <f t="shared" si="8"/>
        <v>21448</v>
      </c>
      <c r="S20" s="98">
        <f t="shared" si="2"/>
        <v>21448</v>
      </c>
      <c r="T20" s="98"/>
      <c r="U20" s="98"/>
      <c r="V20" s="98">
        <f t="shared" si="3"/>
        <v>24800</v>
      </c>
      <c r="W20" s="98">
        <f t="shared" si="4"/>
        <v>25046.795666666669</v>
      </c>
      <c r="X20" s="162">
        <f t="shared" si="5"/>
        <v>23853.276661036038</v>
      </c>
      <c r="Y20" s="98">
        <f t="shared" si="6"/>
        <v>42896</v>
      </c>
      <c r="Z20" s="98"/>
      <c r="AA20" s="98"/>
      <c r="AB20" s="162">
        <f t="shared" si="9"/>
        <v>288180.07232770271</v>
      </c>
      <c r="AC20" s="162">
        <f t="shared" si="10"/>
        <v>42311.502476528716</v>
      </c>
      <c r="AD20" s="162">
        <f t="shared" si="11"/>
        <v>330491.57480423141</v>
      </c>
      <c r="AG20" s="126"/>
      <c r="AH20" s="126"/>
    </row>
    <row r="21" spans="1:34">
      <c r="A21" s="166">
        <v>5</v>
      </c>
      <c r="B21" s="24" t="s">
        <v>219</v>
      </c>
      <c r="C21" s="117">
        <v>1</v>
      </c>
      <c r="D21" s="162">
        <v>7040</v>
      </c>
      <c r="E21" s="167">
        <v>1.2</v>
      </c>
      <c r="F21" s="162">
        <f t="shared" si="0"/>
        <v>8448</v>
      </c>
      <c r="G21" s="142"/>
      <c r="H21" s="162"/>
      <c r="I21" s="168"/>
      <c r="J21" s="145"/>
      <c r="K21" s="134"/>
      <c r="L21" s="134">
        <f t="shared" si="7"/>
        <v>0</v>
      </c>
      <c r="M21" s="134"/>
      <c r="N21" s="134"/>
      <c r="O21" s="162">
        <v>13000</v>
      </c>
      <c r="P21" s="142"/>
      <c r="Q21" s="98"/>
      <c r="R21" s="98">
        <f t="shared" si="8"/>
        <v>21448</v>
      </c>
      <c r="S21" s="98">
        <f t="shared" si="2"/>
        <v>21448</v>
      </c>
      <c r="T21" s="98"/>
      <c r="U21" s="98"/>
      <c r="V21" s="98">
        <f t="shared" si="3"/>
        <v>24800</v>
      </c>
      <c r="W21" s="98">
        <f t="shared" si="4"/>
        <v>25046.795666666669</v>
      </c>
      <c r="X21" s="162">
        <f t="shared" si="5"/>
        <v>23853.276661036038</v>
      </c>
      <c r="Y21" s="98">
        <f t="shared" si="6"/>
        <v>42896</v>
      </c>
      <c r="Z21" s="98"/>
      <c r="AA21" s="98"/>
      <c r="AB21" s="162">
        <f t="shared" si="9"/>
        <v>288180.07232770271</v>
      </c>
      <c r="AC21" s="162">
        <f t="shared" si="10"/>
        <v>42311.502476528716</v>
      </c>
      <c r="AD21" s="162">
        <f t="shared" si="11"/>
        <v>330491.57480423141</v>
      </c>
    </row>
    <row r="22" spans="1:34">
      <c r="A22" s="166">
        <v>6</v>
      </c>
      <c r="B22" s="24" t="s">
        <v>219</v>
      </c>
      <c r="C22" s="117">
        <v>1</v>
      </c>
      <c r="D22" s="162">
        <v>7040</v>
      </c>
      <c r="E22" s="167">
        <v>1.2</v>
      </c>
      <c r="F22" s="162">
        <f t="shared" si="0"/>
        <v>8448</v>
      </c>
      <c r="G22" s="142"/>
      <c r="H22" s="162"/>
      <c r="I22" s="168"/>
      <c r="J22" s="145"/>
      <c r="K22" s="134"/>
      <c r="L22" s="134">
        <f>K22*7</f>
        <v>0</v>
      </c>
      <c r="M22" s="134"/>
      <c r="N22" s="134"/>
      <c r="O22" s="162">
        <v>13000</v>
      </c>
      <c r="P22" s="142"/>
      <c r="Q22" s="98"/>
      <c r="R22" s="98">
        <f t="shared" si="8"/>
        <v>21448</v>
      </c>
      <c r="S22" s="98">
        <f t="shared" si="2"/>
        <v>21448</v>
      </c>
      <c r="T22" s="98"/>
      <c r="U22" s="98"/>
      <c r="V22" s="98">
        <f t="shared" si="3"/>
        <v>24800</v>
      </c>
      <c r="W22" s="98">
        <f t="shared" si="4"/>
        <v>25046.795666666669</v>
      </c>
      <c r="X22" s="162">
        <f t="shared" si="5"/>
        <v>23853.276661036038</v>
      </c>
      <c r="Y22" s="98">
        <f t="shared" si="6"/>
        <v>42896</v>
      </c>
      <c r="Z22" s="98"/>
      <c r="AA22" s="98"/>
      <c r="AB22" s="162">
        <f t="shared" si="9"/>
        <v>288180.07232770271</v>
      </c>
      <c r="AC22" s="162">
        <f t="shared" si="10"/>
        <v>42311.502476528716</v>
      </c>
      <c r="AD22" s="162">
        <f t="shared" si="11"/>
        <v>330491.57480423141</v>
      </c>
      <c r="AG22" s="126"/>
      <c r="AH22" s="126"/>
    </row>
    <row r="23" spans="1:34">
      <c r="A23" s="166">
        <v>7</v>
      </c>
      <c r="B23" s="24" t="s">
        <v>219</v>
      </c>
      <c r="C23" s="117">
        <v>1</v>
      </c>
      <c r="D23" s="162">
        <v>7040</v>
      </c>
      <c r="E23" s="167">
        <v>1.2</v>
      </c>
      <c r="F23" s="162">
        <f t="shared" si="0"/>
        <v>8448</v>
      </c>
      <c r="G23" s="142"/>
      <c r="H23" s="162"/>
      <c r="I23" s="168"/>
      <c r="J23" s="145"/>
      <c r="K23" s="134"/>
      <c r="L23" s="134">
        <f t="shared" si="7"/>
        <v>0</v>
      </c>
      <c r="M23" s="134"/>
      <c r="N23" s="134"/>
      <c r="O23" s="162">
        <v>13000</v>
      </c>
      <c r="P23" s="142"/>
      <c r="Q23" s="98"/>
      <c r="R23" s="98">
        <f t="shared" si="8"/>
        <v>21448</v>
      </c>
      <c r="S23" s="98">
        <f t="shared" si="2"/>
        <v>21448</v>
      </c>
      <c r="T23" s="98"/>
      <c r="U23" s="98"/>
      <c r="V23" s="98">
        <f t="shared" si="3"/>
        <v>24800</v>
      </c>
      <c r="W23" s="98">
        <f t="shared" si="4"/>
        <v>25046.795666666669</v>
      </c>
      <c r="X23" s="162">
        <f t="shared" si="5"/>
        <v>23853.276661036038</v>
      </c>
      <c r="Y23" s="98">
        <f t="shared" si="6"/>
        <v>42896</v>
      </c>
      <c r="Z23" s="98"/>
      <c r="AA23" s="98"/>
      <c r="AB23" s="162">
        <f t="shared" si="9"/>
        <v>288180.07232770271</v>
      </c>
      <c r="AC23" s="162">
        <f t="shared" si="10"/>
        <v>42311.502476528716</v>
      </c>
      <c r="AD23" s="162">
        <f t="shared" si="11"/>
        <v>330491.57480423141</v>
      </c>
    </row>
    <row r="24" spans="1:34">
      <c r="A24" s="166">
        <v>8</v>
      </c>
      <c r="B24" s="24" t="s">
        <v>219</v>
      </c>
      <c r="C24" s="117">
        <v>1</v>
      </c>
      <c r="D24" s="162">
        <v>7040</v>
      </c>
      <c r="E24" s="167">
        <v>1.2</v>
      </c>
      <c r="F24" s="162">
        <f t="shared" si="0"/>
        <v>8448</v>
      </c>
      <c r="G24" s="142"/>
      <c r="H24" s="162"/>
      <c r="I24" s="168"/>
      <c r="J24" s="145"/>
      <c r="K24" s="134"/>
      <c r="L24" s="134">
        <f t="shared" si="7"/>
        <v>0</v>
      </c>
      <c r="M24" s="134"/>
      <c r="N24" s="134"/>
      <c r="O24" s="162">
        <v>13000</v>
      </c>
      <c r="P24" s="142"/>
      <c r="Q24" s="98"/>
      <c r="R24" s="98">
        <f t="shared" si="8"/>
        <v>21448</v>
      </c>
      <c r="S24" s="98">
        <f t="shared" si="2"/>
        <v>21448</v>
      </c>
      <c r="T24" s="98"/>
      <c r="U24" s="98"/>
      <c r="V24" s="98">
        <f t="shared" si="3"/>
        <v>24800</v>
      </c>
      <c r="W24" s="98">
        <f t="shared" si="4"/>
        <v>25046.795666666669</v>
      </c>
      <c r="X24" s="162">
        <f t="shared" si="5"/>
        <v>23853.276661036038</v>
      </c>
      <c r="Y24" s="98">
        <f t="shared" si="6"/>
        <v>42896</v>
      </c>
      <c r="Z24" s="98"/>
      <c r="AA24" s="98"/>
      <c r="AB24" s="162">
        <f t="shared" si="9"/>
        <v>288180.07232770271</v>
      </c>
      <c r="AC24" s="162">
        <f t="shared" si="10"/>
        <v>42311.502476528716</v>
      </c>
      <c r="AD24" s="162">
        <f t="shared" si="11"/>
        <v>330491.57480423141</v>
      </c>
    </row>
    <row r="25" spans="1:34">
      <c r="A25" s="166">
        <v>9</v>
      </c>
      <c r="B25" s="169" t="s">
        <v>220</v>
      </c>
      <c r="C25" s="117">
        <v>1</v>
      </c>
      <c r="D25" s="162">
        <v>7040</v>
      </c>
      <c r="E25" s="167">
        <v>1.2</v>
      </c>
      <c r="F25" s="162">
        <f t="shared" si="0"/>
        <v>8448</v>
      </c>
      <c r="G25" s="142"/>
      <c r="H25" s="162"/>
      <c r="I25" s="168"/>
      <c r="J25" s="145"/>
      <c r="K25" s="134"/>
      <c r="L25" s="134">
        <f t="shared" ref="L25:L27" si="12">K25*4</f>
        <v>0</v>
      </c>
      <c r="M25" s="134"/>
      <c r="N25" s="134"/>
      <c r="O25" s="162">
        <v>5000</v>
      </c>
      <c r="P25" s="142">
        <v>0.5</v>
      </c>
      <c r="Q25" s="98">
        <f t="shared" ref="Q25:Q27" si="13">+F25*P25</f>
        <v>4224</v>
      </c>
      <c r="R25" s="98">
        <f t="shared" si="8"/>
        <v>17672</v>
      </c>
      <c r="S25" s="98">
        <f t="shared" si="2"/>
        <v>17672</v>
      </c>
      <c r="T25" s="98"/>
      <c r="U25" s="98"/>
      <c r="V25" s="98">
        <f t="shared" si="3"/>
        <v>24800</v>
      </c>
      <c r="W25" s="98">
        <f t="shared" si="4"/>
        <v>20637.214333333333</v>
      </c>
      <c r="X25" s="162">
        <f t="shared" si="5"/>
        <v>19653.818778153152</v>
      </c>
      <c r="Y25" s="98">
        <f t="shared" si="6"/>
        <v>35344</v>
      </c>
      <c r="Z25" s="98"/>
      <c r="AA25" s="98"/>
      <c r="AB25" s="162">
        <f t="shared" si="9"/>
        <v>241811.0331114865</v>
      </c>
      <c r="AC25" s="162">
        <f t="shared" si="10"/>
        <v>35615.563211731416</v>
      </c>
      <c r="AD25" s="162">
        <f t="shared" si="11"/>
        <v>277426.59632321791</v>
      </c>
    </row>
    <row r="26" spans="1:34">
      <c r="A26" s="166">
        <v>10</v>
      </c>
      <c r="B26" s="169" t="s">
        <v>220</v>
      </c>
      <c r="C26" s="117">
        <v>1</v>
      </c>
      <c r="D26" s="162">
        <v>7040</v>
      </c>
      <c r="E26" s="167">
        <v>1.2</v>
      </c>
      <c r="F26" s="162">
        <f t="shared" si="0"/>
        <v>8448</v>
      </c>
      <c r="G26" s="142"/>
      <c r="H26" s="162"/>
      <c r="I26" s="168"/>
      <c r="J26" s="145"/>
      <c r="K26" s="134"/>
      <c r="L26" s="134">
        <f t="shared" si="12"/>
        <v>0</v>
      </c>
      <c r="M26" s="134"/>
      <c r="N26" s="134"/>
      <c r="O26" s="162">
        <v>5000</v>
      </c>
      <c r="P26" s="142">
        <v>0.5</v>
      </c>
      <c r="Q26" s="98">
        <f t="shared" si="13"/>
        <v>4224</v>
      </c>
      <c r="R26" s="98">
        <f t="shared" si="8"/>
        <v>17672</v>
      </c>
      <c r="S26" s="98">
        <f t="shared" si="2"/>
        <v>17672</v>
      </c>
      <c r="T26" s="98"/>
      <c r="U26" s="98"/>
      <c r="V26" s="98">
        <f t="shared" si="3"/>
        <v>24800</v>
      </c>
      <c r="W26" s="98">
        <f t="shared" si="4"/>
        <v>20637.214333333333</v>
      </c>
      <c r="X26" s="162">
        <f t="shared" si="5"/>
        <v>19653.818778153152</v>
      </c>
      <c r="Y26" s="98">
        <f t="shared" si="6"/>
        <v>35344</v>
      </c>
      <c r="Z26" s="98"/>
      <c r="AA26" s="98"/>
      <c r="AB26" s="162">
        <f t="shared" si="9"/>
        <v>241811.0331114865</v>
      </c>
      <c r="AC26" s="162">
        <f t="shared" si="10"/>
        <v>35615.563211731416</v>
      </c>
      <c r="AD26" s="162">
        <f t="shared" si="11"/>
        <v>277426.59632321791</v>
      </c>
    </row>
    <row r="27" spans="1:34">
      <c r="A27" s="166">
        <v>11</v>
      </c>
      <c r="B27" s="169" t="s">
        <v>220</v>
      </c>
      <c r="C27" s="117">
        <v>1</v>
      </c>
      <c r="D27" s="162">
        <v>7040</v>
      </c>
      <c r="E27" s="167">
        <v>1.2</v>
      </c>
      <c r="F27" s="162">
        <f t="shared" si="0"/>
        <v>8448</v>
      </c>
      <c r="G27" s="142"/>
      <c r="H27" s="162"/>
      <c r="I27" s="168"/>
      <c r="J27" s="145"/>
      <c r="K27" s="134"/>
      <c r="L27" s="134">
        <f t="shared" si="12"/>
        <v>0</v>
      </c>
      <c r="M27" s="134"/>
      <c r="N27" s="134"/>
      <c r="O27" s="162">
        <v>5000</v>
      </c>
      <c r="P27" s="142">
        <v>0.5</v>
      </c>
      <c r="Q27" s="98">
        <f t="shared" si="13"/>
        <v>4224</v>
      </c>
      <c r="R27" s="98">
        <f t="shared" si="8"/>
        <v>17672</v>
      </c>
      <c r="S27" s="98">
        <f t="shared" si="2"/>
        <v>17672</v>
      </c>
      <c r="T27" s="98"/>
      <c r="U27" s="98"/>
      <c r="V27" s="98">
        <f t="shared" si="3"/>
        <v>24800</v>
      </c>
      <c r="W27" s="98">
        <f t="shared" si="4"/>
        <v>20637.214333333333</v>
      </c>
      <c r="X27" s="162">
        <f t="shared" si="5"/>
        <v>19653.818778153152</v>
      </c>
      <c r="Y27" s="98">
        <f t="shared" si="6"/>
        <v>35344</v>
      </c>
      <c r="Z27" s="98"/>
      <c r="AA27" s="98"/>
      <c r="AB27" s="162">
        <f t="shared" si="9"/>
        <v>241811.0331114865</v>
      </c>
      <c r="AC27" s="162">
        <f t="shared" si="10"/>
        <v>35615.563211731416</v>
      </c>
      <c r="AD27" s="162">
        <f t="shared" si="11"/>
        <v>277426.59632321791</v>
      </c>
    </row>
    <row r="28" spans="1:34">
      <c r="A28" s="166">
        <v>12</v>
      </c>
      <c r="B28" s="169" t="s">
        <v>220</v>
      </c>
      <c r="C28" s="117">
        <v>1</v>
      </c>
      <c r="D28" s="162">
        <v>7040</v>
      </c>
      <c r="E28" s="167">
        <v>1.2</v>
      </c>
      <c r="F28" s="162">
        <f t="shared" si="0"/>
        <v>8448</v>
      </c>
      <c r="G28" s="142"/>
      <c r="H28" s="162"/>
      <c r="I28" s="168"/>
      <c r="J28" s="145"/>
      <c r="K28" s="134"/>
      <c r="L28" s="134">
        <f>K28*4</f>
        <v>0</v>
      </c>
      <c r="M28" s="134"/>
      <c r="N28" s="134"/>
      <c r="O28" s="162">
        <v>5000</v>
      </c>
      <c r="P28" s="142">
        <v>0.5</v>
      </c>
      <c r="Q28" s="98">
        <f>+F28*P28</f>
        <v>4224</v>
      </c>
      <c r="R28" s="98">
        <f t="shared" si="8"/>
        <v>17672</v>
      </c>
      <c r="S28" s="98">
        <f t="shared" si="2"/>
        <v>17672</v>
      </c>
      <c r="T28" s="98"/>
      <c r="U28" s="98"/>
      <c r="V28" s="98">
        <f t="shared" si="3"/>
        <v>24800</v>
      </c>
      <c r="W28" s="98">
        <f t="shared" si="4"/>
        <v>20637.214333333333</v>
      </c>
      <c r="X28" s="162">
        <f t="shared" si="5"/>
        <v>19653.818778153152</v>
      </c>
      <c r="Y28" s="98">
        <f t="shared" si="6"/>
        <v>35344</v>
      </c>
      <c r="Z28" s="98"/>
      <c r="AA28" s="98"/>
      <c r="AB28" s="162">
        <f t="shared" si="9"/>
        <v>241811.0331114865</v>
      </c>
      <c r="AC28" s="162">
        <f t="shared" si="10"/>
        <v>35615.563211731416</v>
      </c>
      <c r="AD28" s="162">
        <f t="shared" si="11"/>
        <v>277426.59632321791</v>
      </c>
    </row>
    <row r="29" spans="1:34" s="174" customFormat="1">
      <c r="A29" s="163"/>
      <c r="B29" s="164" t="s">
        <v>22</v>
      </c>
      <c r="C29" s="182">
        <f>SUM(C17:C28)</f>
        <v>12</v>
      </c>
      <c r="D29" s="170"/>
      <c r="E29" s="171"/>
      <c r="F29" s="170">
        <f>SUM(F17:F28)</f>
        <v>102784</v>
      </c>
      <c r="G29" s="172"/>
      <c r="H29" s="170"/>
      <c r="I29" s="172"/>
      <c r="J29" s="172"/>
      <c r="K29" s="172"/>
      <c r="L29" s="172"/>
      <c r="M29" s="172"/>
      <c r="N29" s="172"/>
      <c r="O29" s="170">
        <f t="shared" ref="O29" si="14">SUM(O17:O28)</f>
        <v>115000</v>
      </c>
      <c r="P29" s="172"/>
      <c r="Q29" s="170">
        <f>SUM(Q17:Q28)</f>
        <v>18867.2</v>
      </c>
      <c r="R29" s="170">
        <f t="shared" ref="R29:AD29" si="15">SUM(R17:R28)</f>
        <v>236651.2</v>
      </c>
      <c r="S29" s="170">
        <f t="shared" si="15"/>
        <v>236651.2</v>
      </c>
      <c r="T29" s="170">
        <f t="shared" si="15"/>
        <v>0</v>
      </c>
      <c r="U29" s="170">
        <f t="shared" si="15"/>
        <v>0</v>
      </c>
      <c r="V29" s="170">
        <f t="shared" si="15"/>
        <v>297600</v>
      </c>
      <c r="W29" s="170">
        <f t="shared" si="15"/>
        <v>276359.2992666667</v>
      </c>
      <c r="X29" s="170">
        <f t="shared" si="15"/>
        <v>263190.34622184688</v>
      </c>
      <c r="Y29" s="170">
        <f t="shared" si="15"/>
        <v>473302.4</v>
      </c>
      <c r="Z29" s="170">
        <f t="shared" si="15"/>
        <v>0</v>
      </c>
      <c r="AA29" s="170">
        <f t="shared" si="15"/>
        <v>0</v>
      </c>
      <c r="AB29" s="170">
        <f t="shared" si="15"/>
        <v>3203661.6454885141</v>
      </c>
      <c r="AC29" s="170">
        <f t="shared" si="15"/>
        <v>470986.96984676865</v>
      </c>
      <c r="AD29" s="170">
        <f t="shared" si="15"/>
        <v>3674648.6153352819</v>
      </c>
      <c r="AE29" s="173"/>
      <c r="AF29" s="173"/>
      <c r="AG29" s="173"/>
    </row>
    <row r="30" spans="1:34">
      <c r="A30" s="379" t="s">
        <v>221</v>
      </c>
      <c r="B30" s="380"/>
      <c r="C30" s="380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  <c r="AC30" s="380"/>
      <c r="AD30" s="381"/>
      <c r="AG30" s="126"/>
    </row>
    <row r="31" spans="1:34">
      <c r="A31" s="166">
        <v>13</v>
      </c>
      <c r="B31" s="24" t="s">
        <v>222</v>
      </c>
      <c r="C31" s="117">
        <v>1</v>
      </c>
      <c r="D31" s="162">
        <v>7040</v>
      </c>
      <c r="E31" s="167">
        <v>1.2</v>
      </c>
      <c r="F31" s="162">
        <f t="shared" ref="F31:F38" si="16">+E31*D31</f>
        <v>8448</v>
      </c>
      <c r="G31" s="145"/>
      <c r="H31" s="162"/>
      <c r="I31" s="168"/>
      <c r="J31" s="145"/>
      <c r="K31" s="134"/>
      <c r="L31" s="134"/>
      <c r="M31" s="134"/>
      <c r="N31" s="134"/>
      <c r="O31" s="162">
        <v>12000</v>
      </c>
      <c r="P31" s="142"/>
      <c r="Q31" s="134">
        <f t="shared" ref="Q31:Q33" si="17">+F31*P31</f>
        <v>0</v>
      </c>
      <c r="R31" s="98">
        <f t="shared" ref="R31:R38" si="18">+F31+H31+I31+K31+O31+Q31</f>
        <v>20448</v>
      </c>
      <c r="S31" s="98">
        <f t="shared" ref="S31:S38" si="19">R31*C31</f>
        <v>20448</v>
      </c>
      <c r="T31" s="98"/>
      <c r="U31" s="98"/>
      <c r="V31" s="98">
        <f t="shared" ref="V31:V38" si="20">6200*4</f>
        <v>24800</v>
      </c>
      <c r="W31" s="98">
        <f t="shared" ref="W31:W38" si="21">(S31*14.0135)/12</f>
        <v>23879.004000000001</v>
      </c>
      <c r="X31" s="162">
        <f t="shared" ref="X31:X38" si="22">(((S31+(S31*14.0135/12/12)))*3/3/29.6)*30</f>
        <v>22741.132094594592</v>
      </c>
      <c r="Y31" s="98">
        <f t="shared" ref="Y31:Y38" si="23">S31*2</f>
        <v>40896</v>
      </c>
      <c r="Z31" s="98"/>
      <c r="AA31" s="98"/>
      <c r="AB31" s="162">
        <f t="shared" ref="AB31:AB38" si="24">(S31*8)+T31+U31+W31+X31+Y31+V31+AA31</f>
        <v>275900.13609459461</v>
      </c>
      <c r="AC31" s="162">
        <f t="shared" ref="AC31:AC38" si="25">((S31*8)+T31+V31+X31+W31)*0.1725</f>
        <v>40538.213476317564</v>
      </c>
      <c r="AD31" s="162">
        <f>AB31+AC31</f>
        <v>316438.34957091219</v>
      </c>
    </row>
    <row r="32" spans="1:34">
      <c r="A32" s="166">
        <v>14</v>
      </c>
      <c r="B32" s="24" t="s">
        <v>222</v>
      </c>
      <c r="C32" s="117">
        <v>1</v>
      </c>
      <c r="D32" s="162">
        <v>7040</v>
      </c>
      <c r="E32" s="167">
        <v>1.2</v>
      </c>
      <c r="F32" s="162">
        <f t="shared" si="16"/>
        <v>8448</v>
      </c>
      <c r="G32" s="145"/>
      <c r="H32" s="162"/>
      <c r="I32" s="168"/>
      <c r="J32" s="145"/>
      <c r="K32" s="134"/>
      <c r="L32" s="134"/>
      <c r="M32" s="134"/>
      <c r="N32" s="134"/>
      <c r="O32" s="162">
        <v>12000</v>
      </c>
      <c r="P32" s="142"/>
      <c r="Q32" s="134">
        <f t="shared" si="17"/>
        <v>0</v>
      </c>
      <c r="R32" s="98">
        <f t="shared" si="18"/>
        <v>20448</v>
      </c>
      <c r="S32" s="98">
        <f t="shared" si="19"/>
        <v>20448</v>
      </c>
      <c r="T32" s="98"/>
      <c r="U32" s="98"/>
      <c r="V32" s="98">
        <f t="shared" si="20"/>
        <v>24800</v>
      </c>
      <c r="W32" s="98">
        <f t="shared" si="21"/>
        <v>23879.004000000001</v>
      </c>
      <c r="X32" s="162">
        <f t="shared" si="22"/>
        <v>22741.132094594592</v>
      </c>
      <c r="Y32" s="98">
        <f t="shared" si="23"/>
        <v>40896</v>
      </c>
      <c r="Z32" s="98"/>
      <c r="AA32" s="98"/>
      <c r="AB32" s="162">
        <f t="shared" si="24"/>
        <v>275900.13609459461</v>
      </c>
      <c r="AC32" s="162">
        <f t="shared" si="25"/>
        <v>40538.213476317564</v>
      </c>
      <c r="AD32" s="162">
        <f t="shared" ref="AD32:AD38" si="26">AB32+AC32</f>
        <v>316438.34957091219</v>
      </c>
    </row>
    <row r="33" spans="1:31">
      <c r="A33" s="166">
        <v>15</v>
      </c>
      <c r="B33" s="24" t="s">
        <v>222</v>
      </c>
      <c r="C33" s="117">
        <v>1</v>
      </c>
      <c r="D33" s="162">
        <v>7040</v>
      </c>
      <c r="E33" s="167">
        <v>1.2</v>
      </c>
      <c r="F33" s="162">
        <f t="shared" si="16"/>
        <v>8448</v>
      </c>
      <c r="G33" s="145"/>
      <c r="H33" s="162"/>
      <c r="I33" s="168"/>
      <c r="J33" s="145"/>
      <c r="K33" s="134"/>
      <c r="L33" s="134"/>
      <c r="M33" s="134"/>
      <c r="N33" s="134"/>
      <c r="O33" s="162">
        <v>12000</v>
      </c>
      <c r="P33" s="142"/>
      <c r="Q33" s="134">
        <f t="shared" si="17"/>
        <v>0</v>
      </c>
      <c r="R33" s="98">
        <f t="shared" si="18"/>
        <v>20448</v>
      </c>
      <c r="S33" s="98">
        <f t="shared" si="19"/>
        <v>20448</v>
      </c>
      <c r="T33" s="98"/>
      <c r="U33" s="98"/>
      <c r="V33" s="98">
        <f t="shared" si="20"/>
        <v>24800</v>
      </c>
      <c r="W33" s="98">
        <f t="shared" si="21"/>
        <v>23879.004000000001</v>
      </c>
      <c r="X33" s="162">
        <f t="shared" si="22"/>
        <v>22741.132094594592</v>
      </c>
      <c r="Y33" s="98">
        <f t="shared" si="23"/>
        <v>40896</v>
      </c>
      <c r="Z33" s="98"/>
      <c r="AA33" s="98"/>
      <c r="AB33" s="162">
        <f t="shared" si="24"/>
        <v>275900.13609459461</v>
      </c>
      <c r="AC33" s="162">
        <f t="shared" si="25"/>
        <v>40538.213476317564</v>
      </c>
      <c r="AD33" s="162">
        <f t="shared" si="26"/>
        <v>316438.34957091219</v>
      </c>
    </row>
    <row r="34" spans="1:31">
      <c r="A34" s="166">
        <v>16</v>
      </c>
      <c r="B34" s="24" t="s">
        <v>203</v>
      </c>
      <c r="C34" s="117">
        <v>1</v>
      </c>
      <c r="D34" s="162">
        <v>7040</v>
      </c>
      <c r="E34" s="167">
        <v>1.4</v>
      </c>
      <c r="F34" s="162">
        <f t="shared" si="16"/>
        <v>9856</v>
      </c>
      <c r="G34" s="145"/>
      <c r="H34" s="162"/>
      <c r="I34" s="168"/>
      <c r="J34" s="145"/>
      <c r="K34" s="134"/>
      <c r="L34" s="134"/>
      <c r="M34" s="134"/>
      <c r="N34" s="134"/>
      <c r="O34" s="162">
        <v>5000</v>
      </c>
      <c r="P34" s="142">
        <v>0.15</v>
      </c>
      <c r="Q34" s="98">
        <f>+F34*P34</f>
        <v>1478.3999999999999</v>
      </c>
      <c r="R34" s="98">
        <f t="shared" si="18"/>
        <v>16334.4</v>
      </c>
      <c r="S34" s="98">
        <f t="shared" si="19"/>
        <v>16334.4</v>
      </c>
      <c r="T34" s="98"/>
      <c r="U34" s="98"/>
      <c r="V34" s="98">
        <f t="shared" si="20"/>
        <v>24800</v>
      </c>
      <c r="W34" s="98">
        <f t="shared" si="21"/>
        <v>19075.176199999998</v>
      </c>
      <c r="X34" s="162">
        <f t="shared" si="22"/>
        <v>18166.21420608108</v>
      </c>
      <c r="Y34" s="98">
        <f t="shared" si="23"/>
        <v>32668.799999999999</v>
      </c>
      <c r="Z34" s="98"/>
      <c r="AA34" s="98"/>
      <c r="AB34" s="162">
        <f t="shared" si="24"/>
        <v>225385.39040608107</v>
      </c>
      <c r="AC34" s="162">
        <f t="shared" si="25"/>
        <v>33243.611845048981</v>
      </c>
      <c r="AD34" s="162">
        <f t="shared" si="26"/>
        <v>258629.00225113006</v>
      </c>
    </row>
    <row r="35" spans="1:31">
      <c r="A35" s="166">
        <v>17</v>
      </c>
      <c r="B35" s="169" t="s">
        <v>220</v>
      </c>
      <c r="C35" s="117">
        <v>1</v>
      </c>
      <c r="D35" s="162">
        <v>7040</v>
      </c>
      <c r="E35" s="167">
        <v>1.2</v>
      </c>
      <c r="F35" s="162">
        <f t="shared" si="16"/>
        <v>8448</v>
      </c>
      <c r="G35" s="145"/>
      <c r="H35" s="162"/>
      <c r="I35" s="168"/>
      <c r="J35" s="145"/>
      <c r="K35" s="134"/>
      <c r="L35" s="134"/>
      <c r="M35" s="134"/>
      <c r="N35" s="134"/>
      <c r="O35" s="162">
        <v>6000</v>
      </c>
      <c r="P35" s="142">
        <v>0.5</v>
      </c>
      <c r="Q35" s="98">
        <f t="shared" ref="Q35:Q38" si="27">+F35*P35</f>
        <v>4224</v>
      </c>
      <c r="R35" s="98">
        <f t="shared" si="18"/>
        <v>18672</v>
      </c>
      <c r="S35" s="98">
        <f t="shared" si="19"/>
        <v>18672</v>
      </c>
      <c r="T35" s="98"/>
      <c r="U35" s="98"/>
      <c r="V35" s="98">
        <f t="shared" si="20"/>
        <v>24800</v>
      </c>
      <c r="W35" s="98">
        <f t="shared" si="21"/>
        <v>21805.006000000001</v>
      </c>
      <c r="X35" s="162">
        <f t="shared" si="22"/>
        <v>20765.963344594595</v>
      </c>
      <c r="Y35" s="98">
        <f t="shared" si="23"/>
        <v>37344</v>
      </c>
      <c r="Z35" s="98"/>
      <c r="AA35" s="98"/>
      <c r="AB35" s="162">
        <f t="shared" si="24"/>
        <v>254090.96934459457</v>
      </c>
      <c r="AC35" s="162">
        <f t="shared" si="25"/>
        <v>37388.852211942562</v>
      </c>
      <c r="AD35" s="162">
        <f t="shared" si="26"/>
        <v>291479.82155653712</v>
      </c>
    </row>
    <row r="36" spans="1:31">
      <c r="A36" s="166">
        <v>18</v>
      </c>
      <c r="B36" s="169" t="s">
        <v>220</v>
      </c>
      <c r="C36" s="117">
        <v>1</v>
      </c>
      <c r="D36" s="162">
        <v>7040</v>
      </c>
      <c r="E36" s="167">
        <v>1.2</v>
      </c>
      <c r="F36" s="162">
        <f t="shared" si="16"/>
        <v>8448</v>
      </c>
      <c r="G36" s="145"/>
      <c r="H36" s="162"/>
      <c r="I36" s="168"/>
      <c r="J36" s="145"/>
      <c r="K36" s="134"/>
      <c r="L36" s="134"/>
      <c r="M36" s="134"/>
      <c r="N36" s="134"/>
      <c r="O36" s="162">
        <v>6000</v>
      </c>
      <c r="P36" s="142">
        <v>0.5</v>
      </c>
      <c r="Q36" s="98">
        <f t="shared" si="27"/>
        <v>4224</v>
      </c>
      <c r="R36" s="98">
        <f t="shared" si="18"/>
        <v>18672</v>
      </c>
      <c r="S36" s="98">
        <f t="shared" si="19"/>
        <v>18672</v>
      </c>
      <c r="T36" s="98"/>
      <c r="U36" s="98"/>
      <c r="V36" s="98">
        <f t="shared" si="20"/>
        <v>24800</v>
      </c>
      <c r="W36" s="98">
        <f t="shared" si="21"/>
        <v>21805.006000000001</v>
      </c>
      <c r="X36" s="162">
        <f t="shared" si="22"/>
        <v>20765.963344594595</v>
      </c>
      <c r="Y36" s="98">
        <f t="shared" si="23"/>
        <v>37344</v>
      </c>
      <c r="Z36" s="98"/>
      <c r="AA36" s="98"/>
      <c r="AB36" s="162">
        <f t="shared" si="24"/>
        <v>254090.96934459457</v>
      </c>
      <c r="AC36" s="162">
        <f t="shared" si="25"/>
        <v>37388.852211942562</v>
      </c>
      <c r="AD36" s="162">
        <f t="shared" si="26"/>
        <v>291479.82155653712</v>
      </c>
    </row>
    <row r="37" spans="1:31">
      <c r="A37" s="166">
        <v>19</v>
      </c>
      <c r="B37" s="169" t="s">
        <v>220</v>
      </c>
      <c r="C37" s="117">
        <v>1</v>
      </c>
      <c r="D37" s="162">
        <v>7040</v>
      </c>
      <c r="E37" s="167">
        <v>1.2</v>
      </c>
      <c r="F37" s="162">
        <f t="shared" si="16"/>
        <v>8448</v>
      </c>
      <c r="G37" s="145"/>
      <c r="H37" s="162"/>
      <c r="I37" s="168"/>
      <c r="J37" s="145"/>
      <c r="K37" s="134"/>
      <c r="L37" s="134"/>
      <c r="M37" s="134"/>
      <c r="N37" s="134"/>
      <c r="O37" s="162">
        <v>6000</v>
      </c>
      <c r="P37" s="142">
        <v>0.5</v>
      </c>
      <c r="Q37" s="98">
        <f t="shared" si="27"/>
        <v>4224</v>
      </c>
      <c r="R37" s="98">
        <f t="shared" si="18"/>
        <v>18672</v>
      </c>
      <c r="S37" s="98">
        <f t="shared" si="19"/>
        <v>18672</v>
      </c>
      <c r="T37" s="98"/>
      <c r="U37" s="98"/>
      <c r="V37" s="98">
        <f t="shared" si="20"/>
        <v>24800</v>
      </c>
      <c r="W37" s="98">
        <f t="shared" si="21"/>
        <v>21805.006000000001</v>
      </c>
      <c r="X37" s="162">
        <f t="shared" si="22"/>
        <v>20765.963344594595</v>
      </c>
      <c r="Y37" s="98">
        <f t="shared" si="23"/>
        <v>37344</v>
      </c>
      <c r="Z37" s="98"/>
      <c r="AA37" s="98"/>
      <c r="AB37" s="162">
        <f t="shared" si="24"/>
        <v>254090.96934459457</v>
      </c>
      <c r="AC37" s="162">
        <f t="shared" si="25"/>
        <v>37388.852211942562</v>
      </c>
      <c r="AD37" s="162">
        <f t="shared" si="26"/>
        <v>291479.82155653712</v>
      </c>
    </row>
    <row r="38" spans="1:31">
      <c r="A38" s="166">
        <v>20</v>
      </c>
      <c r="B38" s="169" t="s">
        <v>220</v>
      </c>
      <c r="C38" s="117">
        <v>1</v>
      </c>
      <c r="D38" s="162">
        <v>7040</v>
      </c>
      <c r="E38" s="167">
        <v>1.2</v>
      </c>
      <c r="F38" s="162">
        <f t="shared" si="16"/>
        <v>8448</v>
      </c>
      <c r="G38" s="145"/>
      <c r="H38" s="162"/>
      <c r="I38" s="168"/>
      <c r="J38" s="145"/>
      <c r="K38" s="134"/>
      <c r="L38" s="134"/>
      <c r="M38" s="134"/>
      <c r="N38" s="134"/>
      <c r="O38" s="162">
        <v>6000</v>
      </c>
      <c r="P38" s="142">
        <v>0.5</v>
      </c>
      <c r="Q38" s="98">
        <f t="shared" si="27"/>
        <v>4224</v>
      </c>
      <c r="R38" s="98">
        <f t="shared" si="18"/>
        <v>18672</v>
      </c>
      <c r="S38" s="98">
        <f t="shared" si="19"/>
        <v>18672</v>
      </c>
      <c r="T38" s="98"/>
      <c r="U38" s="98"/>
      <c r="V38" s="98">
        <f t="shared" si="20"/>
        <v>24800</v>
      </c>
      <c r="W38" s="98">
        <f t="shared" si="21"/>
        <v>21805.006000000001</v>
      </c>
      <c r="X38" s="162">
        <f t="shared" si="22"/>
        <v>20765.963344594595</v>
      </c>
      <c r="Y38" s="98">
        <f t="shared" si="23"/>
        <v>37344</v>
      </c>
      <c r="Z38" s="98"/>
      <c r="AA38" s="98"/>
      <c r="AB38" s="162">
        <f t="shared" si="24"/>
        <v>254090.96934459457</v>
      </c>
      <c r="AC38" s="162">
        <f t="shared" si="25"/>
        <v>37388.852211942562</v>
      </c>
      <c r="AD38" s="162">
        <f t="shared" si="26"/>
        <v>291479.82155653712</v>
      </c>
    </row>
    <row r="39" spans="1:31" s="165" customFormat="1">
      <c r="A39" s="163"/>
      <c r="B39" s="164" t="s">
        <v>22</v>
      </c>
      <c r="C39" s="175">
        <f>SUM(C31:C38)</f>
        <v>8</v>
      </c>
      <c r="D39" s="124"/>
      <c r="E39" s="176"/>
      <c r="F39" s="124">
        <f>SUM(F31:F38)</f>
        <v>68992</v>
      </c>
      <c r="G39" s="177"/>
      <c r="H39" s="124"/>
      <c r="I39" s="178"/>
      <c r="J39" s="177"/>
      <c r="K39" s="133"/>
      <c r="L39" s="133"/>
      <c r="M39" s="133"/>
      <c r="N39" s="133"/>
      <c r="O39" s="124">
        <f>SUM(O31:O38)</f>
        <v>65000</v>
      </c>
      <c r="P39" s="179"/>
      <c r="Q39" s="124">
        <f>SUM(Q31:Q38)</f>
        <v>18374.400000000001</v>
      </c>
      <c r="R39" s="124">
        <f t="shared" ref="R39:AD39" si="28">SUM(R31:R38)</f>
        <v>152366.39999999999</v>
      </c>
      <c r="S39" s="124">
        <f t="shared" si="28"/>
        <v>152366.39999999999</v>
      </c>
      <c r="T39" s="124">
        <f t="shared" si="28"/>
        <v>0</v>
      </c>
      <c r="U39" s="124">
        <f t="shared" si="28"/>
        <v>0</v>
      </c>
      <c r="V39" s="124">
        <f t="shared" si="28"/>
        <v>198400</v>
      </c>
      <c r="W39" s="124">
        <f t="shared" si="28"/>
        <v>177932.21219999998</v>
      </c>
      <c r="X39" s="124">
        <f t="shared" si="28"/>
        <v>169453.46386824321</v>
      </c>
      <c r="Y39" s="124">
        <f t="shared" si="28"/>
        <v>304732.79999999999</v>
      </c>
      <c r="Z39" s="124">
        <f t="shared" si="28"/>
        <v>0</v>
      </c>
      <c r="AA39" s="124">
        <f t="shared" si="28"/>
        <v>0</v>
      </c>
      <c r="AB39" s="124">
        <f t="shared" si="28"/>
        <v>2069449.6760682429</v>
      </c>
      <c r="AC39" s="124">
        <f t="shared" si="28"/>
        <v>304413.6611217719</v>
      </c>
      <c r="AD39" s="124">
        <f t="shared" si="28"/>
        <v>2373863.3371900152</v>
      </c>
    </row>
    <row r="40" spans="1:31">
      <c r="A40" s="379" t="s">
        <v>223</v>
      </c>
      <c r="B40" s="380"/>
      <c r="C40" s="380"/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  <c r="AC40" s="380"/>
      <c r="AD40" s="381"/>
    </row>
    <row r="41" spans="1:31">
      <c r="A41" s="166">
        <v>21</v>
      </c>
      <c r="B41" s="169" t="s">
        <v>224</v>
      </c>
      <c r="C41" s="117">
        <v>1</v>
      </c>
      <c r="D41" s="162">
        <v>7040</v>
      </c>
      <c r="E41" s="167">
        <v>1.2</v>
      </c>
      <c r="F41" s="162">
        <f t="shared" ref="F41:F47" si="29">+E41*D41</f>
        <v>8448</v>
      </c>
      <c r="G41" s="142"/>
      <c r="H41" s="162"/>
      <c r="I41" s="168"/>
      <c r="J41" s="145"/>
      <c r="K41" s="134"/>
      <c r="L41" s="134">
        <f>K41*2</f>
        <v>0</v>
      </c>
      <c r="M41" s="134"/>
      <c r="N41" s="134"/>
      <c r="O41" s="162">
        <v>5000</v>
      </c>
      <c r="P41" s="142">
        <v>0.5</v>
      </c>
      <c r="Q41" s="98">
        <f>+F41*P41</f>
        <v>4224</v>
      </c>
      <c r="R41" s="98">
        <f t="shared" ref="R41:R47" si="30">+F41+H41+I41+K41+O41+Q41</f>
        <v>17672</v>
      </c>
      <c r="S41" s="98">
        <f t="shared" ref="S41:S47" si="31">R41*C41</f>
        <v>17672</v>
      </c>
      <c r="T41" s="98"/>
      <c r="U41" s="98"/>
      <c r="V41" s="98">
        <f t="shared" ref="V41:V47" si="32">6200*4</f>
        <v>24800</v>
      </c>
      <c r="W41" s="98">
        <f t="shared" ref="W41:W47" si="33">(S41*14.0135)/12</f>
        <v>20637.214333333333</v>
      </c>
      <c r="X41" s="162">
        <f t="shared" ref="X41:X47" si="34">(((S41+(S41*14.0135/12/12)))*3/3/29.6)*30</f>
        <v>19653.818778153152</v>
      </c>
      <c r="Y41" s="98">
        <f t="shared" ref="Y41:Y47" si="35">S41*2</f>
        <v>35344</v>
      </c>
      <c r="Z41" s="98"/>
      <c r="AA41" s="98"/>
      <c r="AB41" s="162">
        <f t="shared" ref="AB41:AB47" si="36">(S41*8)+T41+U41+W41+X41+Y41+V41+AA41</f>
        <v>241811.0331114865</v>
      </c>
      <c r="AC41" s="162">
        <f t="shared" ref="AC41:AC47" si="37">((S41*8)+T41+V41+X41+W41)*0.1725</f>
        <v>35615.563211731416</v>
      </c>
      <c r="AD41" s="162">
        <f>AB41+AC41</f>
        <v>277426.59632321791</v>
      </c>
    </row>
    <row r="42" spans="1:31">
      <c r="A42" s="166">
        <v>22</v>
      </c>
      <c r="B42" s="169" t="s">
        <v>224</v>
      </c>
      <c r="C42" s="117">
        <v>1</v>
      </c>
      <c r="D42" s="162">
        <v>7040</v>
      </c>
      <c r="E42" s="167">
        <v>1.2</v>
      </c>
      <c r="F42" s="162">
        <f t="shared" si="29"/>
        <v>8448</v>
      </c>
      <c r="G42" s="142"/>
      <c r="H42" s="162"/>
      <c r="I42" s="168"/>
      <c r="J42" s="145"/>
      <c r="K42" s="134"/>
      <c r="L42" s="134">
        <f t="shared" ref="L42:L44" si="38">K42*2</f>
        <v>0</v>
      </c>
      <c r="M42" s="134"/>
      <c r="N42" s="134"/>
      <c r="O42" s="162">
        <v>5000</v>
      </c>
      <c r="P42" s="142">
        <v>0.5</v>
      </c>
      <c r="Q42" s="98">
        <f t="shared" ref="Q42:Q44" si="39">+F42*P42</f>
        <v>4224</v>
      </c>
      <c r="R42" s="98">
        <f t="shared" si="30"/>
        <v>17672</v>
      </c>
      <c r="S42" s="98">
        <f t="shared" si="31"/>
        <v>17672</v>
      </c>
      <c r="T42" s="98"/>
      <c r="U42" s="98"/>
      <c r="V42" s="98">
        <f t="shared" si="32"/>
        <v>24800</v>
      </c>
      <c r="W42" s="98">
        <f t="shared" si="33"/>
        <v>20637.214333333333</v>
      </c>
      <c r="X42" s="162">
        <f t="shared" si="34"/>
        <v>19653.818778153152</v>
      </c>
      <c r="Y42" s="98">
        <f t="shared" si="35"/>
        <v>35344</v>
      </c>
      <c r="Z42" s="98"/>
      <c r="AA42" s="98"/>
      <c r="AB42" s="162">
        <f t="shared" si="36"/>
        <v>241811.0331114865</v>
      </c>
      <c r="AC42" s="162">
        <f t="shared" si="37"/>
        <v>35615.563211731416</v>
      </c>
      <c r="AD42" s="162">
        <f t="shared" ref="AD42:AD47" si="40">AB42+AC42</f>
        <v>277426.59632321791</v>
      </c>
    </row>
    <row r="43" spans="1:31">
      <c r="A43" s="166">
        <v>23</v>
      </c>
      <c r="B43" s="169" t="s">
        <v>224</v>
      </c>
      <c r="C43" s="117">
        <v>1</v>
      </c>
      <c r="D43" s="162">
        <v>7040</v>
      </c>
      <c r="E43" s="167">
        <v>1.2</v>
      </c>
      <c r="F43" s="162">
        <f t="shared" si="29"/>
        <v>8448</v>
      </c>
      <c r="G43" s="142"/>
      <c r="H43" s="162"/>
      <c r="I43" s="168"/>
      <c r="J43" s="145"/>
      <c r="K43" s="134"/>
      <c r="L43" s="134">
        <f t="shared" si="38"/>
        <v>0</v>
      </c>
      <c r="M43" s="134"/>
      <c r="N43" s="134"/>
      <c r="O43" s="162">
        <v>5000</v>
      </c>
      <c r="P43" s="142">
        <v>0.5</v>
      </c>
      <c r="Q43" s="98">
        <f t="shared" si="39"/>
        <v>4224</v>
      </c>
      <c r="R43" s="98">
        <f t="shared" si="30"/>
        <v>17672</v>
      </c>
      <c r="S43" s="98">
        <f t="shared" si="31"/>
        <v>17672</v>
      </c>
      <c r="T43" s="98"/>
      <c r="U43" s="98"/>
      <c r="V43" s="98">
        <f t="shared" si="32"/>
        <v>24800</v>
      </c>
      <c r="W43" s="98">
        <f t="shared" si="33"/>
        <v>20637.214333333333</v>
      </c>
      <c r="X43" s="162">
        <f t="shared" si="34"/>
        <v>19653.818778153152</v>
      </c>
      <c r="Y43" s="98">
        <f t="shared" si="35"/>
        <v>35344</v>
      </c>
      <c r="Z43" s="98"/>
      <c r="AA43" s="98"/>
      <c r="AB43" s="162">
        <f t="shared" si="36"/>
        <v>241811.0331114865</v>
      </c>
      <c r="AC43" s="162">
        <f t="shared" si="37"/>
        <v>35615.563211731416</v>
      </c>
      <c r="AD43" s="162">
        <f t="shared" si="40"/>
        <v>277426.59632321791</v>
      </c>
    </row>
    <row r="44" spans="1:31">
      <c r="A44" s="166">
        <v>24</v>
      </c>
      <c r="B44" s="169" t="s">
        <v>224</v>
      </c>
      <c r="C44" s="117">
        <v>1</v>
      </c>
      <c r="D44" s="162">
        <v>7040</v>
      </c>
      <c r="E44" s="167">
        <v>1.2</v>
      </c>
      <c r="F44" s="162">
        <f t="shared" si="29"/>
        <v>8448</v>
      </c>
      <c r="G44" s="142"/>
      <c r="H44" s="162"/>
      <c r="I44" s="168"/>
      <c r="J44" s="145"/>
      <c r="K44" s="134"/>
      <c r="L44" s="134">
        <f t="shared" si="38"/>
        <v>0</v>
      </c>
      <c r="M44" s="134"/>
      <c r="N44" s="134"/>
      <c r="O44" s="162">
        <v>5000</v>
      </c>
      <c r="P44" s="142">
        <v>0.5</v>
      </c>
      <c r="Q44" s="98">
        <f t="shared" si="39"/>
        <v>4224</v>
      </c>
      <c r="R44" s="98">
        <f t="shared" si="30"/>
        <v>17672</v>
      </c>
      <c r="S44" s="98">
        <f t="shared" si="31"/>
        <v>17672</v>
      </c>
      <c r="T44" s="98"/>
      <c r="U44" s="98"/>
      <c r="V44" s="98">
        <f t="shared" si="32"/>
        <v>24800</v>
      </c>
      <c r="W44" s="98">
        <f t="shared" si="33"/>
        <v>20637.214333333333</v>
      </c>
      <c r="X44" s="162">
        <f t="shared" si="34"/>
        <v>19653.818778153152</v>
      </c>
      <c r="Y44" s="98">
        <f t="shared" si="35"/>
        <v>35344</v>
      </c>
      <c r="Z44" s="98"/>
      <c r="AA44" s="98"/>
      <c r="AB44" s="162">
        <f t="shared" si="36"/>
        <v>241811.0331114865</v>
      </c>
      <c r="AC44" s="162">
        <f t="shared" si="37"/>
        <v>35615.563211731416</v>
      </c>
      <c r="AD44" s="162">
        <f t="shared" si="40"/>
        <v>277426.59632321791</v>
      </c>
    </row>
    <row r="45" spans="1:31">
      <c r="A45" s="166">
        <v>25</v>
      </c>
      <c r="B45" s="169" t="s">
        <v>225</v>
      </c>
      <c r="C45" s="117">
        <v>1</v>
      </c>
      <c r="D45" s="162">
        <v>7040</v>
      </c>
      <c r="E45" s="167">
        <v>1.2</v>
      </c>
      <c r="F45" s="162">
        <f t="shared" si="29"/>
        <v>8448</v>
      </c>
      <c r="G45" s="142"/>
      <c r="H45" s="162"/>
      <c r="I45" s="168"/>
      <c r="J45" s="145"/>
      <c r="K45" s="134"/>
      <c r="L45" s="134"/>
      <c r="M45" s="134"/>
      <c r="N45" s="134"/>
      <c r="O45" s="162">
        <v>13000</v>
      </c>
      <c r="P45" s="142"/>
      <c r="Q45" s="134"/>
      <c r="R45" s="98">
        <f t="shared" si="30"/>
        <v>21448</v>
      </c>
      <c r="S45" s="98">
        <f t="shared" si="31"/>
        <v>21448</v>
      </c>
      <c r="T45" s="98"/>
      <c r="U45" s="98"/>
      <c r="V45" s="98">
        <f t="shared" si="32"/>
        <v>24800</v>
      </c>
      <c r="W45" s="98">
        <f t="shared" si="33"/>
        <v>25046.795666666669</v>
      </c>
      <c r="X45" s="162">
        <f t="shared" si="34"/>
        <v>23853.276661036038</v>
      </c>
      <c r="Y45" s="98">
        <f t="shared" si="35"/>
        <v>42896</v>
      </c>
      <c r="Z45" s="98"/>
      <c r="AA45" s="98"/>
      <c r="AB45" s="162">
        <f t="shared" si="36"/>
        <v>288180.07232770271</v>
      </c>
      <c r="AC45" s="162">
        <f t="shared" si="37"/>
        <v>42311.502476528716</v>
      </c>
      <c r="AD45" s="162">
        <f t="shared" si="40"/>
        <v>330491.57480423141</v>
      </c>
    </row>
    <row r="46" spans="1:31">
      <c r="A46" s="166">
        <v>26</v>
      </c>
      <c r="B46" s="169" t="s">
        <v>225</v>
      </c>
      <c r="C46" s="117">
        <v>1</v>
      </c>
      <c r="D46" s="162">
        <v>7040</v>
      </c>
      <c r="E46" s="167">
        <v>1.2</v>
      </c>
      <c r="F46" s="162">
        <f t="shared" si="29"/>
        <v>8448</v>
      </c>
      <c r="G46" s="142"/>
      <c r="H46" s="162"/>
      <c r="I46" s="168"/>
      <c r="J46" s="145"/>
      <c r="K46" s="134"/>
      <c r="L46" s="134"/>
      <c r="M46" s="134"/>
      <c r="N46" s="134"/>
      <c r="O46" s="162">
        <v>13000</v>
      </c>
      <c r="P46" s="142"/>
      <c r="Q46" s="134"/>
      <c r="R46" s="98">
        <f t="shared" si="30"/>
        <v>21448</v>
      </c>
      <c r="S46" s="98">
        <f t="shared" si="31"/>
        <v>21448</v>
      </c>
      <c r="T46" s="98"/>
      <c r="U46" s="98"/>
      <c r="V46" s="98">
        <f t="shared" si="32"/>
        <v>24800</v>
      </c>
      <c r="W46" s="98">
        <f t="shared" si="33"/>
        <v>25046.795666666669</v>
      </c>
      <c r="X46" s="162">
        <f t="shared" si="34"/>
        <v>23853.276661036038</v>
      </c>
      <c r="Y46" s="98">
        <f t="shared" si="35"/>
        <v>42896</v>
      </c>
      <c r="Z46" s="98"/>
      <c r="AA46" s="98"/>
      <c r="AB46" s="162">
        <f t="shared" si="36"/>
        <v>288180.07232770271</v>
      </c>
      <c r="AC46" s="162">
        <f t="shared" si="37"/>
        <v>42311.502476528716</v>
      </c>
      <c r="AD46" s="162">
        <f t="shared" si="40"/>
        <v>330491.57480423141</v>
      </c>
    </row>
    <row r="47" spans="1:31">
      <c r="A47" s="166">
        <v>27</v>
      </c>
      <c r="B47" s="24" t="s">
        <v>203</v>
      </c>
      <c r="C47" s="117">
        <v>1</v>
      </c>
      <c r="D47" s="162">
        <v>7040</v>
      </c>
      <c r="E47" s="167">
        <v>1.4</v>
      </c>
      <c r="F47" s="162">
        <f t="shared" si="29"/>
        <v>9856</v>
      </c>
      <c r="G47" s="142"/>
      <c r="H47" s="162"/>
      <c r="I47" s="168"/>
      <c r="J47" s="145"/>
      <c r="K47" s="134"/>
      <c r="L47" s="134">
        <f t="shared" ref="L47" si="41">K47</f>
        <v>0</v>
      </c>
      <c r="M47" s="134"/>
      <c r="N47" s="134"/>
      <c r="O47" s="162">
        <v>4000</v>
      </c>
      <c r="P47" s="142">
        <v>0.2</v>
      </c>
      <c r="Q47" s="98">
        <f>+F47*P47</f>
        <v>1971.2</v>
      </c>
      <c r="R47" s="98">
        <f t="shared" si="30"/>
        <v>15827.2</v>
      </c>
      <c r="S47" s="98">
        <f t="shared" si="31"/>
        <v>15827.2</v>
      </c>
      <c r="T47" s="98"/>
      <c r="U47" s="98"/>
      <c r="V47" s="98">
        <f t="shared" si="32"/>
        <v>24800</v>
      </c>
      <c r="W47" s="98">
        <f t="shared" si="33"/>
        <v>18482.872266666669</v>
      </c>
      <c r="X47" s="162">
        <f t="shared" si="34"/>
        <v>17602.134481981982</v>
      </c>
      <c r="Y47" s="98">
        <f t="shared" si="35"/>
        <v>31654.400000000001</v>
      </c>
      <c r="Z47" s="98"/>
      <c r="AA47" s="98"/>
      <c r="AB47" s="162">
        <f t="shared" si="36"/>
        <v>219157.00674864865</v>
      </c>
      <c r="AC47" s="162">
        <f t="shared" si="37"/>
        <v>32344.199664141892</v>
      </c>
      <c r="AD47" s="162">
        <f t="shared" si="40"/>
        <v>251501.20641279055</v>
      </c>
    </row>
    <row r="48" spans="1:31" s="165" customFormat="1">
      <c r="A48" s="163"/>
      <c r="B48" s="164" t="s">
        <v>22</v>
      </c>
      <c r="C48" s="175">
        <f>SUM(C41:C47)</f>
        <v>7</v>
      </c>
      <c r="D48" s="124"/>
      <c r="E48" s="176"/>
      <c r="F48" s="124">
        <f>SUM(F41:F47)</f>
        <v>60544</v>
      </c>
      <c r="G48" s="177"/>
      <c r="H48" s="124"/>
      <c r="I48" s="178"/>
      <c r="J48" s="177"/>
      <c r="K48" s="133"/>
      <c r="L48" s="133"/>
      <c r="M48" s="133"/>
      <c r="N48" s="133"/>
      <c r="O48" s="124">
        <f>SUM(O41:O47)</f>
        <v>50000</v>
      </c>
      <c r="P48" s="179"/>
      <c r="Q48" s="124">
        <f>SUM(Q41:Q47)</f>
        <v>18867.2</v>
      </c>
      <c r="R48" s="124">
        <f t="shared" ref="R48:AD48" si="42">SUM(R41:R47)</f>
        <v>129411.2</v>
      </c>
      <c r="S48" s="124">
        <f t="shared" si="42"/>
        <v>129411.2</v>
      </c>
      <c r="T48" s="124">
        <f t="shared" si="42"/>
        <v>0</v>
      </c>
      <c r="U48" s="124">
        <f t="shared" si="42"/>
        <v>0</v>
      </c>
      <c r="V48" s="124">
        <f t="shared" si="42"/>
        <v>173600</v>
      </c>
      <c r="W48" s="124">
        <f t="shared" si="42"/>
        <v>151125.32093333334</v>
      </c>
      <c r="X48" s="124">
        <f t="shared" si="42"/>
        <v>143923.96291666667</v>
      </c>
      <c r="Y48" s="124">
        <f t="shared" si="42"/>
        <v>258822.39999999999</v>
      </c>
      <c r="Z48" s="124">
        <f t="shared" ref="Z48:AA48" si="43">SUM(Z41:Z47)</f>
        <v>0</v>
      </c>
      <c r="AA48" s="124">
        <f t="shared" si="43"/>
        <v>0</v>
      </c>
      <c r="AB48" s="124">
        <f t="shared" si="42"/>
        <v>1762761.28385</v>
      </c>
      <c r="AC48" s="124">
        <f t="shared" si="42"/>
        <v>259429.45746412501</v>
      </c>
      <c r="AD48" s="124">
        <f t="shared" si="42"/>
        <v>2022190.741314125</v>
      </c>
      <c r="AE48" s="180"/>
    </row>
    <row r="49" spans="1:30" s="165" customFormat="1">
      <c r="A49" s="163"/>
      <c r="B49" s="164" t="s">
        <v>197</v>
      </c>
      <c r="C49" s="175">
        <f>C29+C39+C48</f>
        <v>27</v>
      </c>
      <c r="D49" s="181"/>
      <c r="E49" s="176"/>
      <c r="F49" s="175">
        <f t="shared" ref="F49:AD49" si="44">F29+F39+F48</f>
        <v>232320</v>
      </c>
      <c r="G49" s="175"/>
      <c r="H49" s="175"/>
      <c r="I49" s="175"/>
      <c r="J49" s="175"/>
      <c r="K49" s="175"/>
      <c r="L49" s="175"/>
      <c r="M49" s="175"/>
      <c r="N49" s="175"/>
      <c r="O49" s="175">
        <f t="shared" si="44"/>
        <v>230000</v>
      </c>
      <c r="P49" s="175"/>
      <c r="Q49" s="175">
        <f t="shared" si="44"/>
        <v>56108.800000000003</v>
      </c>
      <c r="R49" s="175">
        <f t="shared" si="44"/>
        <v>518428.8</v>
      </c>
      <c r="S49" s="175">
        <f t="shared" si="44"/>
        <v>518428.8</v>
      </c>
      <c r="T49" s="175">
        <f t="shared" si="44"/>
        <v>0</v>
      </c>
      <c r="U49" s="175">
        <f t="shared" si="44"/>
        <v>0</v>
      </c>
      <c r="V49" s="175">
        <f t="shared" si="44"/>
        <v>669600</v>
      </c>
      <c r="W49" s="175">
        <f t="shared" si="44"/>
        <v>605416.83240000007</v>
      </c>
      <c r="X49" s="175">
        <f t="shared" si="44"/>
        <v>576567.77300675679</v>
      </c>
      <c r="Y49" s="175">
        <f t="shared" si="44"/>
        <v>1036857.6</v>
      </c>
      <c r="Z49" s="175">
        <f t="shared" ref="Z49" si="45">Z29+Z39+Z48</f>
        <v>0</v>
      </c>
      <c r="AA49" s="175">
        <f t="shared" ref="AA49" si="46">AA29+AA39+AA48</f>
        <v>0</v>
      </c>
      <c r="AB49" s="175">
        <f t="shared" si="44"/>
        <v>7035872.6054067574</v>
      </c>
      <c r="AC49" s="175">
        <f t="shared" si="44"/>
        <v>1034830.0884326656</v>
      </c>
      <c r="AD49" s="175">
        <f t="shared" si="44"/>
        <v>8070702.6938394224</v>
      </c>
    </row>
    <row r="50" spans="1:30">
      <c r="A50" s="382" t="s">
        <v>252</v>
      </c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4"/>
    </row>
    <row r="51" spans="1:30">
      <c r="A51" s="379" t="s">
        <v>218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  <c r="W51" s="380"/>
      <c r="X51" s="380"/>
      <c r="Y51" s="380"/>
      <c r="Z51" s="380"/>
      <c r="AA51" s="380"/>
      <c r="AB51" s="380"/>
      <c r="AC51" s="380"/>
      <c r="AD51" s="381"/>
    </row>
    <row r="52" spans="1:30">
      <c r="A52" s="166">
        <v>1</v>
      </c>
      <c r="B52" s="24" t="s">
        <v>203</v>
      </c>
      <c r="C52" s="117">
        <v>1</v>
      </c>
      <c r="D52" s="162">
        <v>7040</v>
      </c>
      <c r="E52" s="167">
        <v>1.4</v>
      </c>
      <c r="F52" s="162">
        <f t="shared" ref="F52:F63" si="47">+E52*D52</f>
        <v>9856</v>
      </c>
      <c r="G52" s="142"/>
      <c r="H52" s="162"/>
      <c r="I52" s="168"/>
      <c r="J52" s="145"/>
      <c r="K52" s="134"/>
      <c r="L52" s="134">
        <f t="shared" ref="L52" si="48">K52</f>
        <v>0</v>
      </c>
      <c r="M52" s="134"/>
      <c r="N52" s="134"/>
      <c r="O52" s="162">
        <v>4000</v>
      </c>
      <c r="P52" s="142">
        <v>0.2</v>
      </c>
      <c r="Q52" s="98">
        <f>+F52*P52</f>
        <v>1971.2</v>
      </c>
      <c r="R52" s="98">
        <f>+F52+H52+I52+K52+O52+Q52</f>
        <v>15827.2</v>
      </c>
      <c r="S52" s="98">
        <f t="shared" ref="S52:S63" si="49">R52*C52</f>
        <v>15827.2</v>
      </c>
      <c r="T52" s="98"/>
      <c r="U52" s="98"/>
      <c r="V52" s="98">
        <f t="shared" ref="V52:V63" si="50">6200*4</f>
        <v>24800</v>
      </c>
      <c r="W52" s="98">
        <f t="shared" ref="W52:W63" si="51">(S52*14.0135)/12</f>
        <v>18482.872266666669</v>
      </c>
      <c r="X52" s="162">
        <f t="shared" ref="X52:X63" si="52">(((S52+(S52*14.0135/12/12)))*3/3/29.6)*30</f>
        <v>17602.134481981982</v>
      </c>
      <c r="Y52" s="98">
        <f t="shared" ref="Y52:Y63" si="53">S52*2</f>
        <v>31654.400000000001</v>
      </c>
      <c r="Z52" s="98">
        <v>5000</v>
      </c>
      <c r="AA52" s="98">
        <f>+Z52*9</f>
        <v>45000</v>
      </c>
      <c r="AB52" s="162">
        <f>(S52*8)+T52+U52+W52+X52+Y52+V52+AA52</f>
        <v>264157.00674864865</v>
      </c>
      <c r="AC52" s="162">
        <f>((S52*8)+T52+V52+X52+W52)*0.1725</f>
        <v>32344.199664141892</v>
      </c>
      <c r="AD52" s="162">
        <f>AB52+AC52</f>
        <v>296501.20641279052</v>
      </c>
    </row>
    <row r="53" spans="1:30">
      <c r="A53" s="166">
        <v>2</v>
      </c>
      <c r="B53" s="24" t="s">
        <v>219</v>
      </c>
      <c r="C53" s="117">
        <v>1</v>
      </c>
      <c r="D53" s="162">
        <v>7040</v>
      </c>
      <c r="E53" s="167">
        <v>1.2</v>
      </c>
      <c r="F53" s="162">
        <f t="shared" si="47"/>
        <v>8448</v>
      </c>
      <c r="G53" s="142"/>
      <c r="H53" s="162"/>
      <c r="I53" s="168"/>
      <c r="J53" s="145"/>
      <c r="K53" s="134"/>
      <c r="L53" s="134">
        <f t="shared" ref="L53:L56" si="54">K53*7</f>
        <v>0</v>
      </c>
      <c r="M53" s="134"/>
      <c r="N53" s="134"/>
      <c r="O53" s="162">
        <v>13000</v>
      </c>
      <c r="P53" s="142"/>
      <c r="Q53" s="98"/>
      <c r="R53" s="98">
        <f t="shared" ref="R53:R63" si="55">+F53+H53+I53+K53+O53+Q53</f>
        <v>21448</v>
      </c>
      <c r="S53" s="98">
        <f t="shared" si="49"/>
        <v>21448</v>
      </c>
      <c r="T53" s="98"/>
      <c r="U53" s="98"/>
      <c r="V53" s="98">
        <f t="shared" si="50"/>
        <v>24800</v>
      </c>
      <c r="W53" s="98">
        <f t="shared" si="51"/>
        <v>25046.795666666669</v>
      </c>
      <c r="X53" s="162">
        <f t="shared" si="52"/>
        <v>23853.276661036038</v>
      </c>
      <c r="Y53" s="98">
        <f t="shared" si="53"/>
        <v>42896</v>
      </c>
      <c r="Z53" s="98">
        <v>5000</v>
      </c>
      <c r="AA53" s="98">
        <f t="shared" ref="AA53:AA63" si="56">+Z53*9</f>
        <v>45000</v>
      </c>
      <c r="AB53" s="162">
        <f t="shared" ref="AB53:AB63" si="57">(S53*8)+T53+U53+W53+X53+Y53+V53+AA53</f>
        <v>333180.07232770271</v>
      </c>
      <c r="AC53" s="162">
        <f t="shared" ref="AC53:AC63" si="58">((S53*8)+T53+V53+X53+W53)*0.1725</f>
        <v>42311.502476528716</v>
      </c>
      <c r="AD53" s="162">
        <f t="shared" ref="AD53:AD63" si="59">AB53+AC53</f>
        <v>375491.57480423141</v>
      </c>
    </row>
    <row r="54" spans="1:30">
      <c r="A54" s="166">
        <v>3</v>
      </c>
      <c r="B54" s="24" t="s">
        <v>219</v>
      </c>
      <c r="C54" s="117">
        <v>1</v>
      </c>
      <c r="D54" s="162">
        <v>7040</v>
      </c>
      <c r="E54" s="167">
        <v>1.2</v>
      </c>
      <c r="F54" s="162">
        <f t="shared" si="47"/>
        <v>8448</v>
      </c>
      <c r="G54" s="142"/>
      <c r="H54" s="162"/>
      <c r="I54" s="168"/>
      <c r="J54" s="145"/>
      <c r="K54" s="134"/>
      <c r="L54" s="134">
        <f t="shared" si="54"/>
        <v>0</v>
      </c>
      <c r="M54" s="134"/>
      <c r="N54" s="134"/>
      <c r="O54" s="162">
        <v>13000</v>
      </c>
      <c r="P54" s="142"/>
      <c r="Q54" s="98"/>
      <c r="R54" s="98">
        <f t="shared" si="55"/>
        <v>21448</v>
      </c>
      <c r="S54" s="98">
        <f t="shared" si="49"/>
        <v>21448</v>
      </c>
      <c r="T54" s="98"/>
      <c r="U54" s="98"/>
      <c r="V54" s="98">
        <f t="shared" si="50"/>
        <v>24800</v>
      </c>
      <c r="W54" s="98">
        <f t="shared" si="51"/>
        <v>25046.795666666669</v>
      </c>
      <c r="X54" s="162">
        <f t="shared" si="52"/>
        <v>23853.276661036038</v>
      </c>
      <c r="Y54" s="98">
        <f t="shared" si="53"/>
        <v>42896</v>
      </c>
      <c r="Z54" s="98">
        <v>5000</v>
      </c>
      <c r="AA54" s="98">
        <f t="shared" si="56"/>
        <v>45000</v>
      </c>
      <c r="AB54" s="162">
        <f t="shared" si="57"/>
        <v>333180.07232770271</v>
      </c>
      <c r="AC54" s="162">
        <f t="shared" si="58"/>
        <v>42311.502476528716</v>
      </c>
      <c r="AD54" s="162">
        <f t="shared" si="59"/>
        <v>375491.57480423141</v>
      </c>
    </row>
    <row r="55" spans="1:30">
      <c r="A55" s="166">
        <v>4</v>
      </c>
      <c r="B55" s="24" t="s">
        <v>219</v>
      </c>
      <c r="C55" s="117">
        <v>1</v>
      </c>
      <c r="D55" s="162">
        <v>7040</v>
      </c>
      <c r="E55" s="167">
        <v>1.2</v>
      </c>
      <c r="F55" s="162">
        <f t="shared" si="47"/>
        <v>8448</v>
      </c>
      <c r="G55" s="142"/>
      <c r="H55" s="162"/>
      <c r="I55" s="168"/>
      <c r="J55" s="145"/>
      <c r="K55" s="134"/>
      <c r="L55" s="134">
        <f t="shared" si="54"/>
        <v>0</v>
      </c>
      <c r="M55" s="134"/>
      <c r="N55" s="134"/>
      <c r="O55" s="162">
        <v>13000</v>
      </c>
      <c r="P55" s="142"/>
      <c r="Q55" s="98"/>
      <c r="R55" s="98">
        <f t="shared" si="55"/>
        <v>21448</v>
      </c>
      <c r="S55" s="98">
        <f t="shared" si="49"/>
        <v>21448</v>
      </c>
      <c r="T55" s="98"/>
      <c r="U55" s="98"/>
      <c r="V55" s="98">
        <f t="shared" si="50"/>
        <v>24800</v>
      </c>
      <c r="W55" s="98">
        <f t="shared" si="51"/>
        <v>25046.795666666669</v>
      </c>
      <c r="X55" s="162">
        <f t="shared" si="52"/>
        <v>23853.276661036038</v>
      </c>
      <c r="Y55" s="98">
        <f t="shared" si="53"/>
        <v>42896</v>
      </c>
      <c r="Z55" s="98">
        <v>5000</v>
      </c>
      <c r="AA55" s="98">
        <f t="shared" si="56"/>
        <v>45000</v>
      </c>
      <c r="AB55" s="162">
        <f t="shared" si="57"/>
        <v>333180.07232770271</v>
      </c>
      <c r="AC55" s="162">
        <f t="shared" si="58"/>
        <v>42311.502476528716</v>
      </c>
      <c r="AD55" s="162">
        <f t="shared" si="59"/>
        <v>375491.57480423141</v>
      </c>
    </row>
    <row r="56" spans="1:30">
      <c r="A56" s="166">
        <v>5</v>
      </c>
      <c r="B56" s="24" t="s">
        <v>219</v>
      </c>
      <c r="C56" s="117">
        <v>1</v>
      </c>
      <c r="D56" s="162">
        <v>7040</v>
      </c>
      <c r="E56" s="167">
        <v>1.2</v>
      </c>
      <c r="F56" s="162">
        <f t="shared" si="47"/>
        <v>8448</v>
      </c>
      <c r="G56" s="142"/>
      <c r="H56" s="162"/>
      <c r="I56" s="168"/>
      <c r="J56" s="145"/>
      <c r="K56" s="134"/>
      <c r="L56" s="134">
        <f t="shared" si="54"/>
        <v>0</v>
      </c>
      <c r="M56" s="134"/>
      <c r="N56" s="134"/>
      <c r="O56" s="162">
        <v>13000</v>
      </c>
      <c r="P56" s="142"/>
      <c r="Q56" s="98"/>
      <c r="R56" s="98">
        <f t="shared" si="55"/>
        <v>21448</v>
      </c>
      <c r="S56" s="98">
        <f t="shared" si="49"/>
        <v>21448</v>
      </c>
      <c r="T56" s="98"/>
      <c r="U56" s="98"/>
      <c r="V56" s="98">
        <f t="shared" si="50"/>
        <v>24800</v>
      </c>
      <c r="W56" s="98">
        <f t="shared" si="51"/>
        <v>25046.795666666669</v>
      </c>
      <c r="X56" s="162">
        <f t="shared" si="52"/>
        <v>23853.276661036038</v>
      </c>
      <c r="Y56" s="98">
        <f t="shared" si="53"/>
        <v>42896</v>
      </c>
      <c r="Z56" s="98">
        <v>5000</v>
      </c>
      <c r="AA56" s="98">
        <f t="shared" si="56"/>
        <v>45000</v>
      </c>
      <c r="AB56" s="162">
        <f t="shared" si="57"/>
        <v>333180.07232770271</v>
      </c>
      <c r="AC56" s="162">
        <f t="shared" si="58"/>
        <v>42311.502476528716</v>
      </c>
      <c r="AD56" s="162">
        <f t="shared" si="59"/>
        <v>375491.57480423141</v>
      </c>
    </row>
    <row r="57" spans="1:30">
      <c r="A57" s="166">
        <v>6</v>
      </c>
      <c r="B57" s="24" t="s">
        <v>219</v>
      </c>
      <c r="C57" s="117">
        <v>1</v>
      </c>
      <c r="D57" s="162">
        <v>7040</v>
      </c>
      <c r="E57" s="167">
        <v>1.2</v>
      </c>
      <c r="F57" s="162">
        <f t="shared" si="47"/>
        <v>8448</v>
      </c>
      <c r="G57" s="142"/>
      <c r="H57" s="162"/>
      <c r="I57" s="168"/>
      <c r="J57" s="145"/>
      <c r="K57" s="134"/>
      <c r="L57" s="134">
        <f>K57*7</f>
        <v>0</v>
      </c>
      <c r="M57" s="134"/>
      <c r="N57" s="134"/>
      <c r="O57" s="162">
        <v>13000</v>
      </c>
      <c r="P57" s="142"/>
      <c r="Q57" s="98"/>
      <c r="R57" s="98">
        <f t="shared" si="55"/>
        <v>21448</v>
      </c>
      <c r="S57" s="98">
        <f t="shared" si="49"/>
        <v>21448</v>
      </c>
      <c r="T57" s="98"/>
      <c r="U57" s="98"/>
      <c r="V57" s="98">
        <f t="shared" si="50"/>
        <v>24800</v>
      </c>
      <c r="W57" s="98">
        <f t="shared" si="51"/>
        <v>25046.795666666669</v>
      </c>
      <c r="X57" s="162">
        <f t="shared" si="52"/>
        <v>23853.276661036038</v>
      </c>
      <c r="Y57" s="98">
        <f t="shared" si="53"/>
        <v>42896</v>
      </c>
      <c r="Z57" s="98">
        <v>5000</v>
      </c>
      <c r="AA57" s="98">
        <f t="shared" si="56"/>
        <v>45000</v>
      </c>
      <c r="AB57" s="162">
        <f t="shared" si="57"/>
        <v>333180.07232770271</v>
      </c>
      <c r="AC57" s="162">
        <f t="shared" si="58"/>
        <v>42311.502476528716</v>
      </c>
      <c r="AD57" s="162">
        <f t="shared" si="59"/>
        <v>375491.57480423141</v>
      </c>
    </row>
    <row r="58" spans="1:30">
      <c r="A58" s="166">
        <v>7</v>
      </c>
      <c r="B58" s="24" t="s">
        <v>219</v>
      </c>
      <c r="C58" s="117">
        <v>1</v>
      </c>
      <c r="D58" s="162">
        <v>7040</v>
      </c>
      <c r="E58" s="167">
        <v>1.2</v>
      </c>
      <c r="F58" s="162">
        <f t="shared" si="47"/>
        <v>8448</v>
      </c>
      <c r="G58" s="142"/>
      <c r="H58" s="162"/>
      <c r="I58" s="168"/>
      <c r="J58" s="145"/>
      <c r="K58" s="134"/>
      <c r="L58" s="134">
        <f t="shared" ref="L58:L59" si="60">K58*7</f>
        <v>0</v>
      </c>
      <c r="M58" s="134"/>
      <c r="N58" s="134"/>
      <c r="O58" s="162">
        <v>13000</v>
      </c>
      <c r="P58" s="142"/>
      <c r="Q58" s="98"/>
      <c r="R58" s="98">
        <f t="shared" si="55"/>
        <v>21448</v>
      </c>
      <c r="S58" s="98">
        <f t="shared" si="49"/>
        <v>21448</v>
      </c>
      <c r="T58" s="98"/>
      <c r="U58" s="98"/>
      <c r="V58" s="98">
        <f t="shared" si="50"/>
        <v>24800</v>
      </c>
      <c r="W58" s="98">
        <f t="shared" si="51"/>
        <v>25046.795666666669</v>
      </c>
      <c r="X58" s="162">
        <f t="shared" si="52"/>
        <v>23853.276661036038</v>
      </c>
      <c r="Y58" s="98">
        <f t="shared" si="53"/>
        <v>42896</v>
      </c>
      <c r="Z58" s="98">
        <v>5000</v>
      </c>
      <c r="AA58" s="98">
        <f t="shared" si="56"/>
        <v>45000</v>
      </c>
      <c r="AB58" s="162">
        <f t="shared" si="57"/>
        <v>333180.07232770271</v>
      </c>
      <c r="AC58" s="162">
        <f t="shared" si="58"/>
        <v>42311.502476528716</v>
      </c>
      <c r="AD58" s="162">
        <f t="shared" si="59"/>
        <v>375491.57480423141</v>
      </c>
    </row>
    <row r="59" spans="1:30">
      <c r="A59" s="166">
        <v>8</v>
      </c>
      <c r="B59" s="24" t="s">
        <v>219</v>
      </c>
      <c r="C59" s="117">
        <v>1</v>
      </c>
      <c r="D59" s="162">
        <v>7040</v>
      </c>
      <c r="E59" s="167">
        <v>1.2</v>
      </c>
      <c r="F59" s="162">
        <f t="shared" si="47"/>
        <v>8448</v>
      </c>
      <c r="G59" s="142"/>
      <c r="H59" s="162"/>
      <c r="I59" s="168"/>
      <c r="J59" s="145"/>
      <c r="K59" s="134"/>
      <c r="L59" s="134">
        <f t="shared" si="60"/>
        <v>0</v>
      </c>
      <c r="M59" s="134"/>
      <c r="N59" s="134"/>
      <c r="O59" s="162">
        <v>13000</v>
      </c>
      <c r="P59" s="142"/>
      <c r="Q59" s="98"/>
      <c r="R59" s="98">
        <f t="shared" si="55"/>
        <v>21448</v>
      </c>
      <c r="S59" s="98">
        <f t="shared" si="49"/>
        <v>21448</v>
      </c>
      <c r="T59" s="98"/>
      <c r="U59" s="98"/>
      <c r="V59" s="98">
        <f t="shared" si="50"/>
        <v>24800</v>
      </c>
      <c r="W59" s="98">
        <f t="shared" si="51"/>
        <v>25046.795666666669</v>
      </c>
      <c r="X59" s="162">
        <f t="shared" si="52"/>
        <v>23853.276661036038</v>
      </c>
      <c r="Y59" s="98">
        <f t="shared" si="53"/>
        <v>42896</v>
      </c>
      <c r="Z59" s="98">
        <v>5000</v>
      </c>
      <c r="AA59" s="98">
        <f t="shared" si="56"/>
        <v>45000</v>
      </c>
      <c r="AB59" s="162">
        <f t="shared" si="57"/>
        <v>333180.07232770271</v>
      </c>
      <c r="AC59" s="162">
        <f t="shared" si="58"/>
        <v>42311.502476528716</v>
      </c>
      <c r="AD59" s="162">
        <f t="shared" si="59"/>
        <v>375491.57480423141</v>
      </c>
    </row>
    <row r="60" spans="1:30">
      <c r="A60" s="166">
        <v>9</v>
      </c>
      <c r="B60" s="169" t="s">
        <v>220</v>
      </c>
      <c r="C60" s="117">
        <v>1</v>
      </c>
      <c r="D60" s="162">
        <v>7040</v>
      </c>
      <c r="E60" s="167">
        <v>1.2</v>
      </c>
      <c r="F60" s="162">
        <f t="shared" si="47"/>
        <v>8448</v>
      </c>
      <c r="G60" s="142"/>
      <c r="H60" s="162"/>
      <c r="I60" s="168"/>
      <c r="J60" s="145"/>
      <c r="K60" s="134"/>
      <c r="L60" s="134">
        <f t="shared" ref="L60:L62" si="61">K60*4</f>
        <v>0</v>
      </c>
      <c r="M60" s="134"/>
      <c r="N60" s="134"/>
      <c r="O60" s="162">
        <v>5000</v>
      </c>
      <c r="P60" s="142">
        <v>0.5</v>
      </c>
      <c r="Q60" s="98">
        <f t="shared" ref="Q60:Q62" si="62">+F60*P60</f>
        <v>4224</v>
      </c>
      <c r="R60" s="98">
        <f t="shared" si="55"/>
        <v>17672</v>
      </c>
      <c r="S60" s="98">
        <f t="shared" si="49"/>
        <v>17672</v>
      </c>
      <c r="T60" s="98"/>
      <c r="U60" s="98"/>
      <c r="V60" s="98">
        <f t="shared" si="50"/>
        <v>24800</v>
      </c>
      <c r="W60" s="98">
        <f t="shared" si="51"/>
        <v>20637.214333333333</v>
      </c>
      <c r="X60" s="162">
        <f t="shared" si="52"/>
        <v>19653.818778153152</v>
      </c>
      <c r="Y60" s="98">
        <f t="shared" si="53"/>
        <v>35344</v>
      </c>
      <c r="Z60" s="98">
        <v>5000</v>
      </c>
      <c r="AA60" s="98">
        <f t="shared" si="56"/>
        <v>45000</v>
      </c>
      <c r="AB60" s="162">
        <f t="shared" si="57"/>
        <v>286811.03311148647</v>
      </c>
      <c r="AC60" s="162">
        <f t="shared" si="58"/>
        <v>35615.563211731416</v>
      </c>
      <c r="AD60" s="162">
        <f t="shared" si="59"/>
        <v>322426.59632321791</v>
      </c>
    </row>
    <row r="61" spans="1:30">
      <c r="A61" s="166">
        <v>10</v>
      </c>
      <c r="B61" s="169" t="s">
        <v>220</v>
      </c>
      <c r="C61" s="117">
        <v>1</v>
      </c>
      <c r="D61" s="162">
        <v>7040</v>
      </c>
      <c r="E61" s="167">
        <v>1.2</v>
      </c>
      <c r="F61" s="162">
        <f t="shared" si="47"/>
        <v>8448</v>
      </c>
      <c r="G61" s="142"/>
      <c r="H61" s="162"/>
      <c r="I61" s="168"/>
      <c r="J61" s="145"/>
      <c r="K61" s="134"/>
      <c r="L61" s="134">
        <f t="shared" si="61"/>
        <v>0</v>
      </c>
      <c r="M61" s="134"/>
      <c r="N61" s="134"/>
      <c r="O61" s="162">
        <v>5000</v>
      </c>
      <c r="P61" s="142">
        <v>0.5</v>
      </c>
      <c r="Q61" s="98">
        <f t="shared" si="62"/>
        <v>4224</v>
      </c>
      <c r="R61" s="98">
        <f t="shared" si="55"/>
        <v>17672</v>
      </c>
      <c r="S61" s="98">
        <f t="shared" si="49"/>
        <v>17672</v>
      </c>
      <c r="T61" s="98"/>
      <c r="U61" s="98"/>
      <c r="V61" s="98">
        <f t="shared" si="50"/>
        <v>24800</v>
      </c>
      <c r="W61" s="98">
        <f t="shared" si="51"/>
        <v>20637.214333333333</v>
      </c>
      <c r="X61" s="162">
        <f t="shared" si="52"/>
        <v>19653.818778153152</v>
      </c>
      <c r="Y61" s="98">
        <f t="shared" si="53"/>
        <v>35344</v>
      </c>
      <c r="Z61" s="98">
        <v>5000</v>
      </c>
      <c r="AA61" s="98">
        <f t="shared" si="56"/>
        <v>45000</v>
      </c>
      <c r="AB61" s="162">
        <f t="shared" si="57"/>
        <v>286811.03311148647</v>
      </c>
      <c r="AC61" s="162">
        <f t="shared" si="58"/>
        <v>35615.563211731416</v>
      </c>
      <c r="AD61" s="162">
        <f t="shared" si="59"/>
        <v>322426.59632321791</v>
      </c>
    </row>
    <row r="62" spans="1:30">
      <c r="A62" s="166">
        <v>11</v>
      </c>
      <c r="B62" s="169" t="s">
        <v>220</v>
      </c>
      <c r="C62" s="117">
        <v>1</v>
      </c>
      <c r="D62" s="162">
        <v>7040</v>
      </c>
      <c r="E62" s="167">
        <v>1.2</v>
      </c>
      <c r="F62" s="162">
        <f t="shared" si="47"/>
        <v>8448</v>
      </c>
      <c r="G62" s="142"/>
      <c r="H62" s="162"/>
      <c r="I62" s="168"/>
      <c r="J62" s="145"/>
      <c r="K62" s="134"/>
      <c r="L62" s="134">
        <f t="shared" si="61"/>
        <v>0</v>
      </c>
      <c r="M62" s="134"/>
      <c r="N62" s="134"/>
      <c r="O62" s="162">
        <v>5000</v>
      </c>
      <c r="P62" s="142">
        <v>0.5</v>
      </c>
      <c r="Q62" s="98">
        <f t="shared" si="62"/>
        <v>4224</v>
      </c>
      <c r="R62" s="98">
        <f t="shared" si="55"/>
        <v>17672</v>
      </c>
      <c r="S62" s="98">
        <f t="shared" si="49"/>
        <v>17672</v>
      </c>
      <c r="T62" s="98"/>
      <c r="U62" s="98"/>
      <c r="V62" s="98">
        <f t="shared" si="50"/>
        <v>24800</v>
      </c>
      <c r="W62" s="98">
        <f t="shared" si="51"/>
        <v>20637.214333333333</v>
      </c>
      <c r="X62" s="162">
        <f t="shared" si="52"/>
        <v>19653.818778153152</v>
      </c>
      <c r="Y62" s="98">
        <f t="shared" si="53"/>
        <v>35344</v>
      </c>
      <c r="Z62" s="98">
        <v>5000</v>
      </c>
      <c r="AA62" s="98">
        <f t="shared" si="56"/>
        <v>45000</v>
      </c>
      <c r="AB62" s="162">
        <f t="shared" si="57"/>
        <v>286811.03311148647</v>
      </c>
      <c r="AC62" s="162">
        <f t="shared" si="58"/>
        <v>35615.563211731416</v>
      </c>
      <c r="AD62" s="162">
        <f t="shared" si="59"/>
        <v>322426.59632321791</v>
      </c>
    </row>
    <row r="63" spans="1:30">
      <c r="A63" s="166">
        <v>12</v>
      </c>
      <c r="B63" s="169" t="s">
        <v>220</v>
      </c>
      <c r="C63" s="117">
        <v>1</v>
      </c>
      <c r="D63" s="162">
        <v>7040</v>
      </c>
      <c r="E63" s="167">
        <v>1.2</v>
      </c>
      <c r="F63" s="162">
        <f t="shared" si="47"/>
        <v>8448</v>
      </c>
      <c r="G63" s="142"/>
      <c r="H63" s="162"/>
      <c r="I63" s="168"/>
      <c r="J63" s="145"/>
      <c r="K63" s="134"/>
      <c r="L63" s="134">
        <f>K63*4</f>
        <v>0</v>
      </c>
      <c r="M63" s="134"/>
      <c r="N63" s="134"/>
      <c r="O63" s="162">
        <v>5000</v>
      </c>
      <c r="P63" s="142">
        <v>0.5</v>
      </c>
      <c r="Q63" s="98">
        <f>+F63*P63</f>
        <v>4224</v>
      </c>
      <c r="R63" s="98">
        <f t="shared" si="55"/>
        <v>17672</v>
      </c>
      <c r="S63" s="98">
        <f t="shared" si="49"/>
        <v>17672</v>
      </c>
      <c r="T63" s="98"/>
      <c r="U63" s="98"/>
      <c r="V63" s="98">
        <f t="shared" si="50"/>
        <v>24800</v>
      </c>
      <c r="W63" s="98">
        <f t="shared" si="51"/>
        <v>20637.214333333333</v>
      </c>
      <c r="X63" s="162">
        <f t="shared" si="52"/>
        <v>19653.818778153152</v>
      </c>
      <c r="Y63" s="98">
        <f t="shared" si="53"/>
        <v>35344</v>
      </c>
      <c r="Z63" s="98">
        <v>5000</v>
      </c>
      <c r="AA63" s="98">
        <f t="shared" si="56"/>
        <v>45000</v>
      </c>
      <c r="AB63" s="162">
        <f t="shared" si="57"/>
        <v>286811.03311148647</v>
      </c>
      <c r="AC63" s="162">
        <f t="shared" si="58"/>
        <v>35615.563211731416</v>
      </c>
      <c r="AD63" s="162">
        <f t="shared" si="59"/>
        <v>322426.59632321791</v>
      </c>
    </row>
    <row r="64" spans="1:30">
      <c r="A64" s="163"/>
      <c r="B64" s="164" t="s">
        <v>22</v>
      </c>
      <c r="C64" s="182">
        <f>SUM(C52:C63)</f>
        <v>12</v>
      </c>
      <c r="D64" s="170"/>
      <c r="E64" s="171"/>
      <c r="F64" s="170">
        <f>SUM(F52:F63)</f>
        <v>102784</v>
      </c>
      <c r="G64" s="172"/>
      <c r="H64" s="170"/>
      <c r="I64" s="172"/>
      <c r="J64" s="172"/>
      <c r="K64" s="172"/>
      <c r="L64" s="172"/>
      <c r="M64" s="172"/>
      <c r="N64" s="172"/>
      <c r="O64" s="170">
        <f t="shared" ref="O64" si="63">SUM(O52:O63)</f>
        <v>115000</v>
      </c>
      <c r="P64" s="172"/>
      <c r="Q64" s="170">
        <f>SUM(Q52:Q63)</f>
        <v>18867.2</v>
      </c>
      <c r="R64" s="170">
        <f t="shared" ref="R64:AD64" si="64">SUM(R52:R63)</f>
        <v>236651.2</v>
      </c>
      <c r="S64" s="170">
        <f t="shared" si="64"/>
        <v>236651.2</v>
      </c>
      <c r="T64" s="170">
        <f t="shared" si="64"/>
        <v>0</v>
      </c>
      <c r="U64" s="170">
        <f t="shared" si="64"/>
        <v>0</v>
      </c>
      <c r="V64" s="170">
        <f t="shared" si="64"/>
        <v>297600</v>
      </c>
      <c r="W64" s="170">
        <f t="shared" si="64"/>
        <v>276359.2992666667</v>
      </c>
      <c r="X64" s="170">
        <f t="shared" si="64"/>
        <v>263190.34622184688</v>
      </c>
      <c r="Y64" s="170">
        <f t="shared" si="64"/>
        <v>473302.4</v>
      </c>
      <c r="Z64" s="170">
        <f t="shared" si="64"/>
        <v>60000</v>
      </c>
      <c r="AA64" s="170">
        <f t="shared" si="64"/>
        <v>540000</v>
      </c>
      <c r="AB64" s="170">
        <f t="shared" si="64"/>
        <v>3743661.6454885141</v>
      </c>
      <c r="AC64" s="170">
        <f t="shared" si="64"/>
        <v>470986.96984676865</v>
      </c>
      <c r="AD64" s="170">
        <f t="shared" si="64"/>
        <v>4214648.6153352819</v>
      </c>
    </row>
    <row r="65" spans="1:30">
      <c r="A65" s="379" t="s">
        <v>221</v>
      </c>
      <c r="B65" s="380"/>
      <c r="C65" s="380"/>
      <c r="D65" s="380"/>
      <c r="E65" s="380"/>
      <c r="F65" s="380"/>
      <c r="G65" s="380"/>
      <c r="H65" s="380"/>
      <c r="I65" s="380"/>
      <c r="J65" s="380"/>
      <c r="K65" s="380"/>
      <c r="L65" s="380"/>
      <c r="M65" s="380"/>
      <c r="N65" s="380"/>
      <c r="O65" s="380"/>
      <c r="P65" s="380"/>
      <c r="Q65" s="380"/>
      <c r="R65" s="380"/>
      <c r="S65" s="380"/>
      <c r="T65" s="380"/>
      <c r="U65" s="380"/>
      <c r="V65" s="380"/>
      <c r="W65" s="380"/>
      <c r="X65" s="380"/>
      <c r="Y65" s="380"/>
      <c r="Z65" s="380"/>
      <c r="AA65" s="380"/>
      <c r="AB65" s="380"/>
      <c r="AC65" s="380"/>
      <c r="AD65" s="381"/>
    </row>
    <row r="66" spans="1:30">
      <c r="A66" s="166">
        <v>13</v>
      </c>
      <c r="B66" s="24" t="s">
        <v>222</v>
      </c>
      <c r="C66" s="117">
        <v>1</v>
      </c>
      <c r="D66" s="162">
        <v>7040</v>
      </c>
      <c r="E66" s="167">
        <v>1.2</v>
      </c>
      <c r="F66" s="162">
        <f t="shared" ref="F66:F73" si="65">+E66*D66</f>
        <v>8448</v>
      </c>
      <c r="G66" s="145"/>
      <c r="H66" s="162"/>
      <c r="I66" s="168"/>
      <c r="J66" s="145"/>
      <c r="K66" s="134"/>
      <c r="L66" s="134"/>
      <c r="M66" s="134"/>
      <c r="N66" s="134"/>
      <c r="O66" s="162">
        <v>12000</v>
      </c>
      <c r="P66" s="142"/>
      <c r="Q66" s="134">
        <f t="shared" ref="Q66:Q68" si="66">+F66*P66</f>
        <v>0</v>
      </c>
      <c r="R66" s="98">
        <f t="shared" ref="R66:R73" si="67">+F66+H66+I66+K66+O66+Q66</f>
        <v>20448</v>
      </c>
      <c r="S66" s="98">
        <f t="shared" ref="S66:S73" si="68">R66*C66</f>
        <v>20448</v>
      </c>
      <c r="T66" s="98"/>
      <c r="U66" s="98"/>
      <c r="V66" s="98">
        <f t="shared" ref="V66:V73" si="69">6200*4</f>
        <v>24800</v>
      </c>
      <c r="W66" s="98">
        <f t="shared" ref="W66:W73" si="70">(S66*14.0135)/12</f>
        <v>23879.004000000001</v>
      </c>
      <c r="X66" s="162">
        <f t="shared" ref="X66:X73" si="71">(((S66+(S66*14.0135/12/12)))*3/3/29.6)*30</f>
        <v>22741.132094594592</v>
      </c>
      <c r="Y66" s="98">
        <f t="shared" ref="Y66:Y73" si="72">S66*2</f>
        <v>40896</v>
      </c>
      <c r="Z66" s="98">
        <v>5000</v>
      </c>
      <c r="AA66" s="98">
        <f t="shared" ref="AA66:AA73" si="73">+Z66*9</f>
        <v>45000</v>
      </c>
      <c r="AB66" s="162">
        <f t="shared" ref="AB66:AB73" si="74">(S66*8)+T66+U66+W66+X66+Y66+V66+AA66</f>
        <v>320900.13609459461</v>
      </c>
      <c r="AC66" s="162">
        <f t="shared" ref="AC66:AC73" si="75">((S66*8)+T66+V66+X66+W66)*0.1725</f>
        <v>40538.213476317564</v>
      </c>
      <c r="AD66" s="162">
        <f>AB66+AC66</f>
        <v>361438.34957091219</v>
      </c>
    </row>
    <row r="67" spans="1:30">
      <c r="A67" s="166">
        <v>14</v>
      </c>
      <c r="B67" s="24" t="s">
        <v>222</v>
      </c>
      <c r="C67" s="117">
        <v>1</v>
      </c>
      <c r="D67" s="162">
        <v>7040</v>
      </c>
      <c r="E67" s="167">
        <v>1.2</v>
      </c>
      <c r="F67" s="162">
        <f t="shared" si="65"/>
        <v>8448</v>
      </c>
      <c r="G67" s="145"/>
      <c r="H67" s="162"/>
      <c r="I67" s="168"/>
      <c r="J67" s="145"/>
      <c r="K67" s="134"/>
      <c r="L67" s="134"/>
      <c r="M67" s="134"/>
      <c r="N67" s="134"/>
      <c r="O67" s="162">
        <v>12000</v>
      </c>
      <c r="P67" s="142"/>
      <c r="Q67" s="134">
        <f t="shared" si="66"/>
        <v>0</v>
      </c>
      <c r="R67" s="98">
        <f t="shared" si="67"/>
        <v>20448</v>
      </c>
      <c r="S67" s="98">
        <f t="shared" si="68"/>
        <v>20448</v>
      </c>
      <c r="T67" s="98"/>
      <c r="U67" s="98"/>
      <c r="V67" s="98">
        <f t="shared" si="69"/>
        <v>24800</v>
      </c>
      <c r="W67" s="98">
        <f t="shared" si="70"/>
        <v>23879.004000000001</v>
      </c>
      <c r="X67" s="162">
        <f t="shared" si="71"/>
        <v>22741.132094594592</v>
      </c>
      <c r="Y67" s="98">
        <f t="shared" si="72"/>
        <v>40896</v>
      </c>
      <c r="Z67" s="98">
        <v>5000</v>
      </c>
      <c r="AA67" s="98">
        <f t="shared" si="73"/>
        <v>45000</v>
      </c>
      <c r="AB67" s="162">
        <f t="shared" si="74"/>
        <v>320900.13609459461</v>
      </c>
      <c r="AC67" s="162">
        <f t="shared" si="75"/>
        <v>40538.213476317564</v>
      </c>
      <c r="AD67" s="162">
        <f t="shared" ref="AD67:AD73" si="76">AB67+AC67</f>
        <v>361438.34957091219</v>
      </c>
    </row>
    <row r="68" spans="1:30">
      <c r="A68" s="166">
        <v>15</v>
      </c>
      <c r="B68" s="24" t="s">
        <v>222</v>
      </c>
      <c r="C68" s="117">
        <v>1</v>
      </c>
      <c r="D68" s="162">
        <v>7040</v>
      </c>
      <c r="E68" s="167">
        <v>1.2</v>
      </c>
      <c r="F68" s="162">
        <f t="shared" si="65"/>
        <v>8448</v>
      </c>
      <c r="G68" s="145"/>
      <c r="H68" s="162"/>
      <c r="I68" s="168"/>
      <c r="J68" s="145"/>
      <c r="K68" s="134"/>
      <c r="L68" s="134"/>
      <c r="M68" s="134"/>
      <c r="N68" s="134"/>
      <c r="O68" s="162">
        <v>12000</v>
      </c>
      <c r="P68" s="142"/>
      <c r="Q68" s="134">
        <f t="shared" si="66"/>
        <v>0</v>
      </c>
      <c r="R68" s="98">
        <f t="shared" si="67"/>
        <v>20448</v>
      </c>
      <c r="S68" s="98">
        <f t="shared" si="68"/>
        <v>20448</v>
      </c>
      <c r="T68" s="98"/>
      <c r="U68" s="98"/>
      <c r="V68" s="98">
        <f t="shared" si="69"/>
        <v>24800</v>
      </c>
      <c r="W68" s="98">
        <f t="shared" si="70"/>
        <v>23879.004000000001</v>
      </c>
      <c r="X68" s="162">
        <f t="shared" si="71"/>
        <v>22741.132094594592</v>
      </c>
      <c r="Y68" s="98">
        <f t="shared" si="72"/>
        <v>40896</v>
      </c>
      <c r="Z68" s="98">
        <v>5000</v>
      </c>
      <c r="AA68" s="98">
        <f t="shared" si="73"/>
        <v>45000</v>
      </c>
      <c r="AB68" s="162">
        <f t="shared" si="74"/>
        <v>320900.13609459461</v>
      </c>
      <c r="AC68" s="162">
        <f t="shared" si="75"/>
        <v>40538.213476317564</v>
      </c>
      <c r="AD68" s="162">
        <f t="shared" si="76"/>
        <v>361438.34957091219</v>
      </c>
    </row>
    <row r="69" spans="1:30">
      <c r="A69" s="166">
        <v>16</v>
      </c>
      <c r="B69" s="24" t="s">
        <v>203</v>
      </c>
      <c r="C69" s="117">
        <v>1</v>
      </c>
      <c r="D69" s="162">
        <v>7040</v>
      </c>
      <c r="E69" s="167">
        <v>1.4</v>
      </c>
      <c r="F69" s="162">
        <f t="shared" si="65"/>
        <v>9856</v>
      </c>
      <c r="G69" s="145"/>
      <c r="H69" s="162"/>
      <c r="I69" s="168"/>
      <c r="J69" s="145"/>
      <c r="K69" s="134"/>
      <c r="L69" s="134"/>
      <c r="M69" s="134"/>
      <c r="N69" s="134"/>
      <c r="O69" s="162">
        <v>5000</v>
      </c>
      <c r="P69" s="142">
        <v>0.15</v>
      </c>
      <c r="Q69" s="98">
        <f>+F69*P69</f>
        <v>1478.3999999999999</v>
      </c>
      <c r="R69" s="98">
        <f t="shared" si="67"/>
        <v>16334.4</v>
      </c>
      <c r="S69" s="98">
        <f t="shared" si="68"/>
        <v>16334.4</v>
      </c>
      <c r="T69" s="98"/>
      <c r="U69" s="98"/>
      <c r="V69" s="98">
        <f t="shared" si="69"/>
        <v>24800</v>
      </c>
      <c r="W69" s="98">
        <f t="shared" si="70"/>
        <v>19075.176199999998</v>
      </c>
      <c r="X69" s="162">
        <f t="shared" si="71"/>
        <v>18166.21420608108</v>
      </c>
      <c r="Y69" s="98">
        <f t="shared" si="72"/>
        <v>32668.799999999999</v>
      </c>
      <c r="Z69" s="98">
        <v>5000</v>
      </c>
      <c r="AA69" s="98">
        <f t="shared" si="73"/>
        <v>45000</v>
      </c>
      <c r="AB69" s="162">
        <f t="shared" si="74"/>
        <v>270385.3904060811</v>
      </c>
      <c r="AC69" s="162">
        <f t="shared" si="75"/>
        <v>33243.611845048981</v>
      </c>
      <c r="AD69" s="162">
        <f t="shared" si="76"/>
        <v>303629.00225113006</v>
      </c>
    </row>
    <row r="70" spans="1:30">
      <c r="A70" s="166">
        <v>17</v>
      </c>
      <c r="B70" s="169" t="s">
        <v>220</v>
      </c>
      <c r="C70" s="117">
        <v>1</v>
      </c>
      <c r="D70" s="162">
        <v>7040</v>
      </c>
      <c r="E70" s="167">
        <v>1.2</v>
      </c>
      <c r="F70" s="162">
        <f t="shared" si="65"/>
        <v>8448</v>
      </c>
      <c r="G70" s="145"/>
      <c r="H70" s="162"/>
      <c r="I70" s="168"/>
      <c r="J70" s="145"/>
      <c r="K70" s="134"/>
      <c r="L70" s="134"/>
      <c r="M70" s="134"/>
      <c r="N70" s="134"/>
      <c r="O70" s="162">
        <v>6000</v>
      </c>
      <c r="P70" s="142">
        <v>0.5</v>
      </c>
      <c r="Q70" s="98">
        <f t="shared" ref="Q70:Q73" si="77">+F70*P70</f>
        <v>4224</v>
      </c>
      <c r="R70" s="98">
        <f t="shared" si="67"/>
        <v>18672</v>
      </c>
      <c r="S70" s="98">
        <f t="shared" si="68"/>
        <v>18672</v>
      </c>
      <c r="T70" s="98"/>
      <c r="U70" s="98"/>
      <c r="V70" s="98">
        <f t="shared" si="69"/>
        <v>24800</v>
      </c>
      <c r="W70" s="98">
        <f t="shared" si="70"/>
        <v>21805.006000000001</v>
      </c>
      <c r="X70" s="162">
        <f t="shared" si="71"/>
        <v>20765.963344594595</v>
      </c>
      <c r="Y70" s="98">
        <f t="shared" si="72"/>
        <v>37344</v>
      </c>
      <c r="Z70" s="98">
        <v>5000</v>
      </c>
      <c r="AA70" s="98">
        <f t="shared" si="73"/>
        <v>45000</v>
      </c>
      <c r="AB70" s="162">
        <f t="shared" si="74"/>
        <v>299090.96934459457</v>
      </c>
      <c r="AC70" s="162">
        <f t="shared" si="75"/>
        <v>37388.852211942562</v>
      </c>
      <c r="AD70" s="162">
        <f t="shared" si="76"/>
        <v>336479.82155653712</v>
      </c>
    </row>
    <row r="71" spans="1:30">
      <c r="A71" s="166">
        <v>18</v>
      </c>
      <c r="B71" s="169" t="s">
        <v>220</v>
      </c>
      <c r="C71" s="117">
        <v>1</v>
      </c>
      <c r="D71" s="162">
        <v>7040</v>
      </c>
      <c r="E71" s="167">
        <v>1.2</v>
      </c>
      <c r="F71" s="162">
        <f t="shared" si="65"/>
        <v>8448</v>
      </c>
      <c r="G71" s="145"/>
      <c r="H71" s="162"/>
      <c r="I71" s="168"/>
      <c r="J71" s="145"/>
      <c r="K71" s="134"/>
      <c r="L71" s="134"/>
      <c r="M71" s="134"/>
      <c r="N71" s="134"/>
      <c r="O71" s="162">
        <v>6000</v>
      </c>
      <c r="P71" s="142">
        <v>0.5</v>
      </c>
      <c r="Q71" s="98">
        <f t="shared" si="77"/>
        <v>4224</v>
      </c>
      <c r="R71" s="98">
        <f t="shared" si="67"/>
        <v>18672</v>
      </c>
      <c r="S71" s="98">
        <f t="shared" si="68"/>
        <v>18672</v>
      </c>
      <c r="T71" s="98"/>
      <c r="U71" s="98"/>
      <c r="V71" s="98">
        <f t="shared" si="69"/>
        <v>24800</v>
      </c>
      <c r="W71" s="98">
        <f t="shared" si="70"/>
        <v>21805.006000000001</v>
      </c>
      <c r="X71" s="162">
        <f t="shared" si="71"/>
        <v>20765.963344594595</v>
      </c>
      <c r="Y71" s="98">
        <f t="shared" si="72"/>
        <v>37344</v>
      </c>
      <c r="Z71" s="98">
        <v>5000</v>
      </c>
      <c r="AA71" s="98">
        <f t="shared" si="73"/>
        <v>45000</v>
      </c>
      <c r="AB71" s="162">
        <f t="shared" si="74"/>
        <v>299090.96934459457</v>
      </c>
      <c r="AC71" s="162">
        <f t="shared" si="75"/>
        <v>37388.852211942562</v>
      </c>
      <c r="AD71" s="162">
        <f t="shared" si="76"/>
        <v>336479.82155653712</v>
      </c>
    </row>
    <row r="72" spans="1:30">
      <c r="A72" s="166">
        <v>19</v>
      </c>
      <c r="B72" s="169" t="s">
        <v>220</v>
      </c>
      <c r="C72" s="117">
        <v>1</v>
      </c>
      <c r="D72" s="162">
        <v>7040</v>
      </c>
      <c r="E72" s="167">
        <v>1.2</v>
      </c>
      <c r="F72" s="162">
        <f t="shared" si="65"/>
        <v>8448</v>
      </c>
      <c r="G72" s="145"/>
      <c r="H72" s="162"/>
      <c r="I72" s="168"/>
      <c r="J72" s="145"/>
      <c r="K72" s="134"/>
      <c r="L72" s="134"/>
      <c r="M72" s="134"/>
      <c r="N72" s="134"/>
      <c r="O72" s="162">
        <v>6000</v>
      </c>
      <c r="P72" s="142">
        <v>0.5</v>
      </c>
      <c r="Q72" s="98">
        <f t="shared" si="77"/>
        <v>4224</v>
      </c>
      <c r="R72" s="98">
        <f t="shared" si="67"/>
        <v>18672</v>
      </c>
      <c r="S72" s="98">
        <f t="shared" si="68"/>
        <v>18672</v>
      </c>
      <c r="T72" s="98"/>
      <c r="U72" s="98"/>
      <c r="V72" s="98">
        <f t="shared" si="69"/>
        <v>24800</v>
      </c>
      <c r="W72" s="98">
        <f t="shared" si="70"/>
        <v>21805.006000000001</v>
      </c>
      <c r="X72" s="162">
        <f t="shared" si="71"/>
        <v>20765.963344594595</v>
      </c>
      <c r="Y72" s="98">
        <f t="shared" si="72"/>
        <v>37344</v>
      </c>
      <c r="Z72" s="98">
        <v>5000</v>
      </c>
      <c r="AA72" s="98">
        <f t="shared" si="73"/>
        <v>45000</v>
      </c>
      <c r="AB72" s="162">
        <f t="shared" si="74"/>
        <v>299090.96934459457</v>
      </c>
      <c r="AC72" s="162">
        <f t="shared" si="75"/>
        <v>37388.852211942562</v>
      </c>
      <c r="AD72" s="162">
        <f t="shared" si="76"/>
        <v>336479.82155653712</v>
      </c>
    </row>
    <row r="73" spans="1:30">
      <c r="A73" s="166">
        <v>20</v>
      </c>
      <c r="B73" s="169" t="s">
        <v>220</v>
      </c>
      <c r="C73" s="117">
        <v>1</v>
      </c>
      <c r="D73" s="162">
        <v>7040</v>
      </c>
      <c r="E73" s="167">
        <v>1.2</v>
      </c>
      <c r="F73" s="162">
        <f t="shared" si="65"/>
        <v>8448</v>
      </c>
      <c r="G73" s="145"/>
      <c r="H73" s="162"/>
      <c r="I73" s="168"/>
      <c r="J73" s="145"/>
      <c r="K73" s="134"/>
      <c r="L73" s="134"/>
      <c r="M73" s="134"/>
      <c r="N73" s="134"/>
      <c r="O73" s="162">
        <v>6000</v>
      </c>
      <c r="P73" s="142">
        <v>0.5</v>
      </c>
      <c r="Q73" s="98">
        <f t="shared" si="77"/>
        <v>4224</v>
      </c>
      <c r="R73" s="98">
        <f t="shared" si="67"/>
        <v>18672</v>
      </c>
      <c r="S73" s="98">
        <f t="shared" si="68"/>
        <v>18672</v>
      </c>
      <c r="T73" s="98"/>
      <c r="U73" s="98"/>
      <c r="V73" s="98">
        <f t="shared" si="69"/>
        <v>24800</v>
      </c>
      <c r="W73" s="98">
        <f t="shared" si="70"/>
        <v>21805.006000000001</v>
      </c>
      <c r="X73" s="162">
        <f t="shared" si="71"/>
        <v>20765.963344594595</v>
      </c>
      <c r="Y73" s="98">
        <f t="shared" si="72"/>
        <v>37344</v>
      </c>
      <c r="Z73" s="98">
        <v>5000</v>
      </c>
      <c r="AA73" s="98">
        <f t="shared" si="73"/>
        <v>45000</v>
      </c>
      <c r="AB73" s="162">
        <f t="shared" si="74"/>
        <v>299090.96934459457</v>
      </c>
      <c r="AC73" s="162">
        <f t="shared" si="75"/>
        <v>37388.852211942562</v>
      </c>
      <c r="AD73" s="162">
        <f t="shared" si="76"/>
        <v>336479.82155653712</v>
      </c>
    </row>
    <row r="74" spans="1:30">
      <c r="A74" s="163"/>
      <c r="B74" s="164" t="s">
        <v>22</v>
      </c>
      <c r="C74" s="175">
        <f>SUM(C66:C73)</f>
        <v>8</v>
      </c>
      <c r="D74" s="124"/>
      <c r="E74" s="176"/>
      <c r="F74" s="124">
        <f>SUM(F66:F73)</f>
        <v>68992</v>
      </c>
      <c r="G74" s="177"/>
      <c r="H74" s="124"/>
      <c r="I74" s="178"/>
      <c r="J74" s="177"/>
      <c r="K74" s="133"/>
      <c r="L74" s="133"/>
      <c r="M74" s="133"/>
      <c r="N74" s="133"/>
      <c r="O74" s="124">
        <f>SUM(O66:O73)</f>
        <v>65000</v>
      </c>
      <c r="P74" s="179"/>
      <c r="Q74" s="124">
        <f>SUM(Q66:Q73)</f>
        <v>18374.400000000001</v>
      </c>
      <c r="R74" s="124">
        <f t="shared" ref="R74:AD74" si="78">SUM(R66:R73)</f>
        <v>152366.39999999999</v>
      </c>
      <c r="S74" s="124">
        <f t="shared" si="78"/>
        <v>152366.39999999999</v>
      </c>
      <c r="T74" s="124">
        <f t="shared" si="78"/>
        <v>0</v>
      </c>
      <c r="U74" s="124">
        <f t="shared" si="78"/>
        <v>0</v>
      </c>
      <c r="V74" s="124">
        <f t="shared" si="78"/>
        <v>198400</v>
      </c>
      <c r="W74" s="124">
        <f t="shared" si="78"/>
        <v>177932.21219999998</v>
      </c>
      <c r="X74" s="124">
        <f t="shared" si="78"/>
        <v>169453.46386824321</v>
      </c>
      <c r="Y74" s="124">
        <f t="shared" si="78"/>
        <v>304732.79999999999</v>
      </c>
      <c r="Z74" s="124">
        <f t="shared" si="78"/>
        <v>40000</v>
      </c>
      <c r="AA74" s="124">
        <f t="shared" si="78"/>
        <v>360000</v>
      </c>
      <c r="AB74" s="124">
        <f t="shared" si="78"/>
        <v>2429449.6760682431</v>
      </c>
      <c r="AC74" s="124">
        <f t="shared" si="78"/>
        <v>304413.6611217719</v>
      </c>
      <c r="AD74" s="124">
        <f t="shared" si="78"/>
        <v>2733863.3371900148</v>
      </c>
    </row>
    <row r="75" spans="1:30">
      <c r="A75" s="379" t="s">
        <v>223</v>
      </c>
      <c r="B75" s="380"/>
      <c r="C75" s="380"/>
      <c r="D75" s="380"/>
      <c r="E75" s="380"/>
      <c r="F75" s="380"/>
      <c r="G75" s="380"/>
      <c r="H75" s="380"/>
      <c r="I75" s="380"/>
      <c r="J75" s="380"/>
      <c r="K75" s="380"/>
      <c r="L75" s="380"/>
      <c r="M75" s="380"/>
      <c r="N75" s="380"/>
      <c r="O75" s="380"/>
      <c r="P75" s="380"/>
      <c r="Q75" s="380"/>
      <c r="R75" s="380"/>
      <c r="S75" s="380"/>
      <c r="T75" s="380"/>
      <c r="U75" s="380"/>
      <c r="V75" s="380"/>
      <c r="W75" s="380"/>
      <c r="X75" s="380"/>
      <c r="Y75" s="380"/>
      <c r="Z75" s="380"/>
      <c r="AA75" s="380"/>
      <c r="AB75" s="380"/>
      <c r="AC75" s="380"/>
      <c r="AD75" s="381"/>
    </row>
    <row r="76" spans="1:30">
      <c r="A76" s="166">
        <v>21</v>
      </c>
      <c r="B76" s="169" t="s">
        <v>224</v>
      </c>
      <c r="C76" s="117">
        <v>1</v>
      </c>
      <c r="D76" s="162">
        <v>7040</v>
      </c>
      <c r="E76" s="167">
        <v>1.2</v>
      </c>
      <c r="F76" s="162">
        <f t="shared" ref="F76:F82" si="79">+E76*D76</f>
        <v>8448</v>
      </c>
      <c r="G76" s="142"/>
      <c r="H76" s="162"/>
      <c r="I76" s="168"/>
      <c r="J76" s="145"/>
      <c r="K76" s="134"/>
      <c r="L76" s="134">
        <f>K76*2</f>
        <v>0</v>
      </c>
      <c r="M76" s="134"/>
      <c r="N76" s="134"/>
      <c r="O76" s="162">
        <v>5000</v>
      </c>
      <c r="P76" s="142">
        <v>0.5</v>
      </c>
      <c r="Q76" s="98">
        <f>+F76*P76</f>
        <v>4224</v>
      </c>
      <c r="R76" s="98">
        <f t="shared" ref="R76:R82" si="80">+F76+H76+I76+K76+O76+Q76</f>
        <v>17672</v>
      </c>
      <c r="S76" s="98">
        <f t="shared" ref="S76:S82" si="81">R76*C76</f>
        <v>17672</v>
      </c>
      <c r="T76" s="98"/>
      <c r="U76" s="98"/>
      <c r="V76" s="98">
        <f t="shared" ref="V76:V82" si="82">6200*4</f>
        <v>24800</v>
      </c>
      <c r="W76" s="98">
        <f t="shared" ref="W76:W82" si="83">(S76*14.0135)/12</f>
        <v>20637.214333333333</v>
      </c>
      <c r="X76" s="162">
        <f t="shared" ref="X76:X82" si="84">(((S76+(S76*14.0135/12/12)))*3/3/29.6)*30</f>
        <v>19653.818778153152</v>
      </c>
      <c r="Y76" s="98">
        <f t="shared" ref="Y76:Y82" si="85">S76*2</f>
        <v>35344</v>
      </c>
      <c r="Z76" s="98">
        <v>5000</v>
      </c>
      <c r="AA76" s="98">
        <f t="shared" ref="AA76:AA82" si="86">+Z76*9</f>
        <v>45000</v>
      </c>
      <c r="AB76" s="162">
        <f t="shared" ref="AB76:AB82" si="87">(S76*8)+T76+U76+W76+X76+Y76+V76+AA76</f>
        <v>286811.03311148647</v>
      </c>
      <c r="AC76" s="162">
        <f t="shared" ref="AC76:AC82" si="88">((S76*8)+T76+V76+X76+W76)*0.1725</f>
        <v>35615.563211731416</v>
      </c>
      <c r="AD76" s="162">
        <f>AB76+AC76</f>
        <v>322426.59632321791</v>
      </c>
    </row>
    <row r="77" spans="1:30">
      <c r="A77" s="166">
        <v>22</v>
      </c>
      <c r="B77" s="169" t="s">
        <v>224</v>
      </c>
      <c r="C77" s="117">
        <v>1</v>
      </c>
      <c r="D77" s="162">
        <v>7040</v>
      </c>
      <c r="E77" s="167">
        <v>1.2</v>
      </c>
      <c r="F77" s="162">
        <f t="shared" si="79"/>
        <v>8448</v>
      </c>
      <c r="G77" s="142"/>
      <c r="H77" s="162"/>
      <c r="I77" s="168"/>
      <c r="J77" s="145"/>
      <c r="K77" s="134"/>
      <c r="L77" s="134">
        <f t="shared" ref="L77:L79" si="89">K77*2</f>
        <v>0</v>
      </c>
      <c r="M77" s="134"/>
      <c r="N77" s="134"/>
      <c r="O77" s="162">
        <v>5000</v>
      </c>
      <c r="P77" s="142">
        <v>0.5</v>
      </c>
      <c r="Q77" s="98">
        <f t="shared" ref="Q77:Q79" si="90">+F77*P77</f>
        <v>4224</v>
      </c>
      <c r="R77" s="98">
        <f t="shared" si="80"/>
        <v>17672</v>
      </c>
      <c r="S77" s="98">
        <f t="shared" si="81"/>
        <v>17672</v>
      </c>
      <c r="T77" s="98"/>
      <c r="U77" s="98"/>
      <c r="V77" s="98">
        <f t="shared" si="82"/>
        <v>24800</v>
      </c>
      <c r="W77" s="98">
        <f t="shared" si="83"/>
        <v>20637.214333333333</v>
      </c>
      <c r="X77" s="162">
        <f t="shared" si="84"/>
        <v>19653.818778153152</v>
      </c>
      <c r="Y77" s="98">
        <f t="shared" si="85"/>
        <v>35344</v>
      </c>
      <c r="Z77" s="98">
        <v>5000</v>
      </c>
      <c r="AA77" s="98">
        <f t="shared" si="86"/>
        <v>45000</v>
      </c>
      <c r="AB77" s="162">
        <f t="shared" si="87"/>
        <v>286811.03311148647</v>
      </c>
      <c r="AC77" s="162">
        <f t="shared" si="88"/>
        <v>35615.563211731416</v>
      </c>
      <c r="AD77" s="162">
        <f t="shared" ref="AD77:AD82" si="91">AB77+AC77</f>
        <v>322426.59632321791</v>
      </c>
    </row>
    <row r="78" spans="1:30">
      <c r="A78" s="166">
        <v>23</v>
      </c>
      <c r="B78" s="169" t="s">
        <v>224</v>
      </c>
      <c r="C78" s="117">
        <v>1</v>
      </c>
      <c r="D78" s="162">
        <v>7040</v>
      </c>
      <c r="E78" s="167">
        <v>1.2</v>
      </c>
      <c r="F78" s="162">
        <f t="shared" si="79"/>
        <v>8448</v>
      </c>
      <c r="G78" s="142"/>
      <c r="H78" s="162"/>
      <c r="I78" s="168"/>
      <c r="J78" s="145"/>
      <c r="K78" s="134"/>
      <c r="L78" s="134">
        <f t="shared" si="89"/>
        <v>0</v>
      </c>
      <c r="M78" s="134"/>
      <c r="N78" s="134"/>
      <c r="O78" s="162">
        <v>5000</v>
      </c>
      <c r="P78" s="142">
        <v>0.5</v>
      </c>
      <c r="Q78" s="98">
        <f t="shared" si="90"/>
        <v>4224</v>
      </c>
      <c r="R78" s="98">
        <f t="shared" si="80"/>
        <v>17672</v>
      </c>
      <c r="S78" s="98">
        <f t="shared" si="81"/>
        <v>17672</v>
      </c>
      <c r="T78" s="98"/>
      <c r="U78" s="98"/>
      <c r="V78" s="98">
        <f t="shared" si="82"/>
        <v>24800</v>
      </c>
      <c r="W78" s="98">
        <f t="shared" si="83"/>
        <v>20637.214333333333</v>
      </c>
      <c r="X78" s="162">
        <f t="shared" si="84"/>
        <v>19653.818778153152</v>
      </c>
      <c r="Y78" s="98">
        <f t="shared" si="85"/>
        <v>35344</v>
      </c>
      <c r="Z78" s="98">
        <v>5000</v>
      </c>
      <c r="AA78" s="98">
        <f t="shared" si="86"/>
        <v>45000</v>
      </c>
      <c r="AB78" s="162">
        <f t="shared" si="87"/>
        <v>286811.03311148647</v>
      </c>
      <c r="AC78" s="162">
        <f t="shared" si="88"/>
        <v>35615.563211731416</v>
      </c>
      <c r="AD78" s="162">
        <f t="shared" si="91"/>
        <v>322426.59632321791</v>
      </c>
    </row>
    <row r="79" spans="1:30">
      <c r="A79" s="166">
        <v>24</v>
      </c>
      <c r="B79" s="169" t="s">
        <v>224</v>
      </c>
      <c r="C79" s="117">
        <v>1</v>
      </c>
      <c r="D79" s="162">
        <v>7040</v>
      </c>
      <c r="E79" s="167">
        <v>1.2</v>
      </c>
      <c r="F79" s="162">
        <f t="shared" si="79"/>
        <v>8448</v>
      </c>
      <c r="G79" s="142"/>
      <c r="H79" s="162"/>
      <c r="I79" s="168"/>
      <c r="J79" s="145"/>
      <c r="K79" s="134"/>
      <c r="L79" s="134">
        <f t="shared" si="89"/>
        <v>0</v>
      </c>
      <c r="M79" s="134"/>
      <c r="N79" s="134"/>
      <c r="O79" s="162">
        <v>5000</v>
      </c>
      <c r="P79" s="142">
        <v>0.5</v>
      </c>
      <c r="Q79" s="98">
        <f t="shared" si="90"/>
        <v>4224</v>
      </c>
      <c r="R79" s="98">
        <f t="shared" si="80"/>
        <v>17672</v>
      </c>
      <c r="S79" s="98">
        <f t="shared" si="81"/>
        <v>17672</v>
      </c>
      <c r="T79" s="98"/>
      <c r="U79" s="98"/>
      <c r="V79" s="98">
        <f t="shared" si="82"/>
        <v>24800</v>
      </c>
      <c r="W79" s="98">
        <f t="shared" si="83"/>
        <v>20637.214333333333</v>
      </c>
      <c r="X79" s="162">
        <f t="shared" si="84"/>
        <v>19653.818778153152</v>
      </c>
      <c r="Y79" s="98">
        <f t="shared" si="85"/>
        <v>35344</v>
      </c>
      <c r="Z79" s="98">
        <v>5000</v>
      </c>
      <c r="AA79" s="98">
        <f t="shared" si="86"/>
        <v>45000</v>
      </c>
      <c r="AB79" s="162">
        <f t="shared" si="87"/>
        <v>286811.03311148647</v>
      </c>
      <c r="AC79" s="162">
        <f t="shared" si="88"/>
        <v>35615.563211731416</v>
      </c>
      <c r="AD79" s="162">
        <f t="shared" si="91"/>
        <v>322426.59632321791</v>
      </c>
    </row>
    <row r="80" spans="1:30">
      <c r="A80" s="166">
        <v>25</v>
      </c>
      <c r="B80" s="169" t="s">
        <v>225</v>
      </c>
      <c r="C80" s="117">
        <v>1</v>
      </c>
      <c r="D80" s="162">
        <v>7040</v>
      </c>
      <c r="E80" s="167">
        <v>1.2</v>
      </c>
      <c r="F80" s="162">
        <f t="shared" si="79"/>
        <v>8448</v>
      </c>
      <c r="G80" s="142"/>
      <c r="H80" s="162"/>
      <c r="I80" s="168"/>
      <c r="J80" s="145"/>
      <c r="K80" s="134"/>
      <c r="L80" s="134"/>
      <c r="M80" s="134"/>
      <c r="N80" s="134"/>
      <c r="O80" s="162">
        <v>13000</v>
      </c>
      <c r="P80" s="142"/>
      <c r="Q80" s="134"/>
      <c r="R80" s="98">
        <f t="shared" si="80"/>
        <v>21448</v>
      </c>
      <c r="S80" s="98">
        <f t="shared" si="81"/>
        <v>21448</v>
      </c>
      <c r="T80" s="98"/>
      <c r="U80" s="98"/>
      <c r="V80" s="98">
        <f t="shared" si="82"/>
        <v>24800</v>
      </c>
      <c r="W80" s="98">
        <f t="shared" si="83"/>
        <v>25046.795666666669</v>
      </c>
      <c r="X80" s="162">
        <f t="shared" si="84"/>
        <v>23853.276661036038</v>
      </c>
      <c r="Y80" s="98">
        <f t="shared" si="85"/>
        <v>42896</v>
      </c>
      <c r="Z80" s="98">
        <v>5000</v>
      </c>
      <c r="AA80" s="98">
        <f t="shared" si="86"/>
        <v>45000</v>
      </c>
      <c r="AB80" s="162">
        <f t="shared" si="87"/>
        <v>333180.07232770271</v>
      </c>
      <c r="AC80" s="162">
        <f t="shared" si="88"/>
        <v>42311.502476528716</v>
      </c>
      <c r="AD80" s="162">
        <f t="shared" si="91"/>
        <v>375491.57480423141</v>
      </c>
    </row>
    <row r="81" spans="1:30">
      <c r="A81" s="166">
        <v>26</v>
      </c>
      <c r="B81" s="169" t="s">
        <v>225</v>
      </c>
      <c r="C81" s="117">
        <v>1</v>
      </c>
      <c r="D81" s="162">
        <v>7040</v>
      </c>
      <c r="E81" s="167">
        <v>1.2</v>
      </c>
      <c r="F81" s="162">
        <f t="shared" si="79"/>
        <v>8448</v>
      </c>
      <c r="G81" s="142"/>
      <c r="H81" s="162"/>
      <c r="I81" s="168"/>
      <c r="J81" s="145"/>
      <c r="K81" s="134"/>
      <c r="L81" s="134"/>
      <c r="M81" s="134"/>
      <c r="N81" s="134"/>
      <c r="O81" s="162">
        <v>13000</v>
      </c>
      <c r="P81" s="142"/>
      <c r="Q81" s="134"/>
      <c r="R81" s="98">
        <f t="shared" si="80"/>
        <v>21448</v>
      </c>
      <c r="S81" s="98">
        <f t="shared" si="81"/>
        <v>21448</v>
      </c>
      <c r="T81" s="98"/>
      <c r="U81" s="98"/>
      <c r="V81" s="98">
        <f t="shared" si="82"/>
        <v>24800</v>
      </c>
      <c r="W81" s="98">
        <f t="shared" si="83"/>
        <v>25046.795666666669</v>
      </c>
      <c r="X81" s="162">
        <f t="shared" si="84"/>
        <v>23853.276661036038</v>
      </c>
      <c r="Y81" s="98">
        <f t="shared" si="85"/>
        <v>42896</v>
      </c>
      <c r="Z81" s="98">
        <v>5000</v>
      </c>
      <c r="AA81" s="98">
        <f t="shared" si="86"/>
        <v>45000</v>
      </c>
      <c r="AB81" s="162">
        <f t="shared" si="87"/>
        <v>333180.07232770271</v>
      </c>
      <c r="AC81" s="162">
        <f t="shared" si="88"/>
        <v>42311.502476528716</v>
      </c>
      <c r="AD81" s="162">
        <f t="shared" si="91"/>
        <v>375491.57480423141</v>
      </c>
    </row>
    <row r="82" spans="1:30">
      <c r="A82" s="166">
        <v>27</v>
      </c>
      <c r="B82" s="24" t="s">
        <v>203</v>
      </c>
      <c r="C82" s="117">
        <v>1</v>
      </c>
      <c r="D82" s="162">
        <v>7040</v>
      </c>
      <c r="E82" s="167">
        <v>1.4</v>
      </c>
      <c r="F82" s="162">
        <f t="shared" si="79"/>
        <v>9856</v>
      </c>
      <c r="G82" s="142"/>
      <c r="H82" s="162"/>
      <c r="I82" s="168"/>
      <c r="J82" s="145"/>
      <c r="K82" s="134"/>
      <c r="L82" s="134">
        <f t="shared" ref="L82" si="92">K82</f>
        <v>0</v>
      </c>
      <c r="M82" s="134"/>
      <c r="N82" s="134"/>
      <c r="O82" s="162">
        <v>4000</v>
      </c>
      <c r="P82" s="142">
        <v>0.2</v>
      </c>
      <c r="Q82" s="98">
        <f>+F82*P82</f>
        <v>1971.2</v>
      </c>
      <c r="R82" s="98">
        <f t="shared" si="80"/>
        <v>15827.2</v>
      </c>
      <c r="S82" s="98">
        <f t="shared" si="81"/>
        <v>15827.2</v>
      </c>
      <c r="T82" s="98"/>
      <c r="U82" s="98"/>
      <c r="V82" s="98">
        <f t="shared" si="82"/>
        <v>24800</v>
      </c>
      <c r="W82" s="98">
        <f t="shared" si="83"/>
        <v>18482.872266666669</v>
      </c>
      <c r="X82" s="162">
        <f t="shared" si="84"/>
        <v>17602.134481981982</v>
      </c>
      <c r="Y82" s="98">
        <f t="shared" si="85"/>
        <v>31654.400000000001</v>
      </c>
      <c r="Z82" s="98">
        <v>5000</v>
      </c>
      <c r="AA82" s="98">
        <f t="shared" si="86"/>
        <v>45000</v>
      </c>
      <c r="AB82" s="162">
        <f t="shared" si="87"/>
        <v>264157.00674864865</v>
      </c>
      <c r="AC82" s="162">
        <f t="shared" si="88"/>
        <v>32344.199664141892</v>
      </c>
      <c r="AD82" s="162">
        <f t="shared" si="91"/>
        <v>296501.20641279052</v>
      </c>
    </row>
    <row r="83" spans="1:30">
      <c r="A83" s="163"/>
      <c r="B83" s="164" t="s">
        <v>22</v>
      </c>
      <c r="C83" s="175">
        <f>SUM(C76:C82)</f>
        <v>7</v>
      </c>
      <c r="D83" s="124"/>
      <c r="E83" s="176"/>
      <c r="F83" s="124">
        <f>SUM(F76:F82)</f>
        <v>60544</v>
      </c>
      <c r="G83" s="177"/>
      <c r="H83" s="124"/>
      <c r="I83" s="178"/>
      <c r="J83" s="177"/>
      <c r="K83" s="133"/>
      <c r="L83" s="133"/>
      <c r="M83" s="133"/>
      <c r="N83" s="133"/>
      <c r="O83" s="124">
        <f>SUM(O76:O82)</f>
        <v>50000</v>
      </c>
      <c r="P83" s="179"/>
      <c r="Q83" s="124">
        <f>SUM(Q76:Q82)</f>
        <v>18867.2</v>
      </c>
      <c r="R83" s="124">
        <f t="shared" ref="R83:AD83" si="93">SUM(R76:R82)</f>
        <v>129411.2</v>
      </c>
      <c r="S83" s="124">
        <f t="shared" si="93"/>
        <v>129411.2</v>
      </c>
      <c r="T83" s="124">
        <f t="shared" si="93"/>
        <v>0</v>
      </c>
      <c r="U83" s="124">
        <f t="shared" si="93"/>
        <v>0</v>
      </c>
      <c r="V83" s="124">
        <f t="shared" si="93"/>
        <v>173600</v>
      </c>
      <c r="W83" s="124">
        <f t="shared" si="93"/>
        <v>151125.32093333334</v>
      </c>
      <c r="X83" s="124">
        <f t="shared" si="93"/>
        <v>143923.96291666667</v>
      </c>
      <c r="Y83" s="124">
        <f t="shared" si="93"/>
        <v>258822.39999999999</v>
      </c>
      <c r="Z83" s="124">
        <f t="shared" si="93"/>
        <v>35000</v>
      </c>
      <c r="AA83" s="124">
        <f t="shared" si="93"/>
        <v>315000</v>
      </c>
      <c r="AB83" s="124">
        <f t="shared" si="93"/>
        <v>2077761.28385</v>
      </c>
      <c r="AC83" s="124">
        <f t="shared" si="93"/>
        <v>259429.45746412501</v>
      </c>
      <c r="AD83" s="124">
        <f t="shared" si="93"/>
        <v>2337190.7413141248</v>
      </c>
    </row>
    <row r="84" spans="1:30">
      <c r="A84" s="163"/>
      <c r="B84" s="164" t="s">
        <v>197</v>
      </c>
      <c r="C84" s="175">
        <f>C64+C74+C83</f>
        <v>27</v>
      </c>
      <c r="D84" s="181"/>
      <c r="E84" s="176"/>
      <c r="F84" s="175">
        <f t="shared" ref="F84" si="94">F64+F74+F83</f>
        <v>232320</v>
      </c>
      <c r="G84" s="175"/>
      <c r="H84" s="175"/>
      <c r="I84" s="175"/>
      <c r="J84" s="175"/>
      <c r="K84" s="175"/>
      <c r="L84" s="175"/>
      <c r="M84" s="175"/>
      <c r="N84" s="175"/>
      <c r="O84" s="175">
        <f t="shared" ref="O84" si="95">O64+O74+O83</f>
        <v>230000</v>
      </c>
      <c r="P84" s="175"/>
      <c r="Q84" s="175">
        <f t="shared" ref="Q84" si="96">Q64+Q74+Q83</f>
        <v>56108.800000000003</v>
      </c>
      <c r="R84" s="175">
        <f t="shared" ref="R84" si="97">R64+R74+R83</f>
        <v>518428.8</v>
      </c>
      <c r="S84" s="175">
        <f t="shared" ref="S84" si="98">S64+S74+S83</f>
        <v>518428.8</v>
      </c>
      <c r="T84" s="175">
        <f t="shared" ref="T84" si="99">T64+T74+T83</f>
        <v>0</v>
      </c>
      <c r="U84" s="175">
        <f t="shared" ref="U84" si="100">U64+U74+U83</f>
        <v>0</v>
      </c>
      <c r="V84" s="175">
        <f t="shared" ref="V84" si="101">V64+V74+V83</f>
        <v>669600</v>
      </c>
      <c r="W84" s="175">
        <f t="shared" ref="W84" si="102">W64+W74+W83</f>
        <v>605416.83240000007</v>
      </c>
      <c r="X84" s="175">
        <f t="shared" ref="X84" si="103">X64+X74+X83</f>
        <v>576567.77300675679</v>
      </c>
      <c r="Y84" s="175">
        <f t="shared" ref="Y84" si="104">Y64+Y74+Y83</f>
        <v>1036857.6</v>
      </c>
      <c r="Z84" s="175">
        <f t="shared" ref="Z84" si="105">Z64+Z74+Z83</f>
        <v>135000</v>
      </c>
      <c r="AA84" s="175">
        <f t="shared" ref="AA84" si="106">AA64+AA74+AA83</f>
        <v>1215000</v>
      </c>
      <c r="AB84" s="175">
        <f t="shared" ref="AB84" si="107">AB64+AB74+AB83</f>
        <v>8250872.6054067574</v>
      </c>
      <c r="AC84" s="175">
        <f t="shared" ref="AC84" si="108">AC64+AC74+AC83</f>
        <v>1034830.0884326656</v>
      </c>
      <c r="AD84" s="175">
        <f t="shared" ref="AD84" si="109">AD64+AD74+AD83</f>
        <v>9285702.6938394215</v>
      </c>
    </row>
    <row r="85" spans="1:30">
      <c r="A85" s="183"/>
      <c r="B85" s="184" t="s">
        <v>211</v>
      </c>
      <c r="C85" s="185"/>
      <c r="D85" s="186"/>
      <c r="E85" s="187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>
        <f>+AB84-AB49</f>
        <v>1215000</v>
      </c>
      <c r="AC85" s="185">
        <f t="shared" ref="AC85:AD85" si="110">+AC84-AC49</f>
        <v>0</v>
      </c>
      <c r="AD85" s="185">
        <f t="shared" si="110"/>
        <v>1214999.9999999991</v>
      </c>
    </row>
    <row r="89" spans="1:30">
      <c r="B89" s="378" t="s">
        <v>301</v>
      </c>
      <c r="C89" s="378"/>
      <c r="D89" s="378"/>
      <c r="E89" s="378"/>
      <c r="F89" s="378"/>
      <c r="G89" s="378"/>
      <c r="H89" s="378"/>
      <c r="I89" s="378"/>
      <c r="J89" s="378"/>
      <c r="K89" s="378"/>
      <c r="L89" s="378"/>
      <c r="M89" s="378"/>
      <c r="N89" s="378"/>
      <c r="O89" s="378"/>
      <c r="P89" s="378"/>
      <c r="Q89" s="378"/>
      <c r="R89" s="378"/>
      <c r="S89" s="378"/>
      <c r="T89" s="378"/>
      <c r="U89" s="378"/>
      <c r="V89" s="378"/>
      <c r="W89" s="378"/>
      <c r="X89" s="378"/>
      <c r="Y89" s="378"/>
      <c r="Z89" s="378"/>
      <c r="AA89" s="378"/>
      <c r="AB89" s="378"/>
      <c r="AC89" s="378"/>
      <c r="AD89" s="378"/>
    </row>
  </sheetData>
  <mergeCells count="35">
    <mergeCell ref="B89:AD89"/>
    <mergeCell ref="A51:AD51"/>
    <mergeCell ref="A65:AD65"/>
    <mergeCell ref="A75:AD75"/>
    <mergeCell ref="A15:AD15"/>
    <mergeCell ref="A16:AD16"/>
    <mergeCell ref="A30:AD30"/>
    <mergeCell ref="A40:AD40"/>
    <mergeCell ref="A50:AD50"/>
    <mergeCell ref="T11:T12"/>
    <mergeCell ref="U11:U12"/>
    <mergeCell ref="V11:V12"/>
    <mergeCell ref="W11:W12"/>
    <mergeCell ref="X11:X12"/>
    <mergeCell ref="J12:K12"/>
    <mergeCell ref="L12:M12"/>
    <mergeCell ref="N12:O12"/>
    <mergeCell ref="P12:Q12"/>
    <mergeCell ref="S11:S12"/>
    <mergeCell ref="A8:AD8"/>
    <mergeCell ref="D9:AB9"/>
    <mergeCell ref="A11:A13"/>
    <mergeCell ref="B11:B13"/>
    <mergeCell ref="C11:C13"/>
    <mergeCell ref="D11:D13"/>
    <mergeCell ref="E11:E13"/>
    <mergeCell ref="F11:F13"/>
    <mergeCell ref="G11:Q11"/>
    <mergeCell ref="R11:R12"/>
    <mergeCell ref="Z11:AA12"/>
    <mergeCell ref="Y11:Y12"/>
    <mergeCell ref="AB11:AB12"/>
    <mergeCell ref="AC11:AC12"/>
    <mergeCell ref="AD11:AD12"/>
    <mergeCell ref="G12:H12"/>
  </mergeCells>
  <phoneticPr fontId="42" type="noConversion"/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Т1 киреше бөлүгү</vt:lpstr>
      <vt:lpstr>Т2 чыгаша бөлүгү бюджет акыркы</vt:lpstr>
      <vt:lpstr>Т2а чыгаша бөлүгү атайын эсеп</vt:lpstr>
      <vt:lpstr>Т3 УГД</vt:lpstr>
      <vt:lpstr>Т4 ЖКХ</vt:lpstr>
      <vt:lpstr>ЖКХ спец</vt:lpstr>
      <vt:lpstr>Тазалык спец</vt:lpstr>
      <vt:lpstr>Т5 Маалымат борбору</vt:lpstr>
      <vt:lpstr>Т6 УМИ спец</vt:lpstr>
      <vt:lpstr>'Т1 киреше бөлүгү'!Заголовки_для_печати</vt:lpstr>
      <vt:lpstr>'Т2 чыгаша бөлүгү бюджет акыркы'!Заголовки_для_печати</vt:lpstr>
      <vt:lpstr>'Т1 киреше бөлүгү'!Область_печати</vt:lpstr>
      <vt:lpstr>'Т2 чыгаша бөлүгү бюджет акыркы'!Область_печати</vt:lpstr>
      <vt:lpstr>'Т2а чыгаша бөлүгү атайын эсеп'!Область_печати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2026-05-26T11:53:49Z</cp:lastPrinted>
  <dcterms:created xsi:type="dcterms:W3CDTF">2024-05-22T09:56:18Z</dcterms:created>
  <dcterms:modified xsi:type="dcterms:W3CDTF">2026-06-01T08:39:06Z</dcterms:modified>
</cp:coreProperties>
</file>